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renato\Downloads\"/>
    </mc:Choice>
  </mc:AlternateContent>
  <workbookProtection workbookAlgorithmName="SHA-512" workbookHashValue="IfIJtiE56oLhrKkkGxDu5sqeSItrf2Fe/R3D6tHSMc9GJnpoOYBKpXJZLcRX/+qrCvM3FCi9oq8Pz7xMNOYYrQ==" workbookSaltValue="Go75bC1An6mMWvIIQ1/iGg==" workbookSpinCount="100000" lockStructure="1"/>
  <bookViews>
    <workbookView xWindow="0" yWindow="0" windowWidth="28800" windowHeight="12435" tabRatio="908" firstSheet="1" activeTab="1"/>
  </bookViews>
  <sheets>
    <sheet name="Plan1" sheetId="258" state="hidden" r:id="rId1"/>
    <sheet name="Inicial" sheetId="72" r:id="rId2"/>
    <sheet name="Culturas" sheetId="69" r:id="rId3"/>
    <sheet name="RecomendacaoMicro" sheetId="150" r:id="rId4"/>
    <sheet name="Fertirrigacao" sheetId="256" r:id="rId5"/>
    <sheet name="Gesso" sheetId="57" r:id="rId6"/>
    <sheet name="Utilidades" sheetId="257" r:id="rId7"/>
    <sheet name="FertirrigacaoGeral" sheetId="196" r:id="rId8"/>
    <sheet name="TabFertirrigacao" sheetId="237" r:id="rId9"/>
    <sheet name="CultivoOrg" sheetId="198" r:id="rId10"/>
    <sheet name="EspacamentoOrg" sheetId="222" r:id="rId11"/>
    <sheet name="ExigenciaN" sheetId="199" r:id="rId12"/>
    <sheet name="FertiOrg" sheetId="223" r:id="rId13"/>
    <sheet name="CultivoOrgG1" sheetId="219" r:id="rId14"/>
    <sheet name="CultivoOrgG2" sheetId="255" r:id="rId15"/>
    <sheet name="CultivoOrgG3" sheetId="197" r:id="rId16"/>
    <sheet name="CultivoOrgG4" sheetId="221" r:id="rId17"/>
    <sheet name="CultivoOrgG5" sheetId="220" r:id="rId18"/>
    <sheet name="CultivoOrgPlantio" sheetId="201" r:id="rId19"/>
    <sheet name="CultivoOrgProducao" sheetId="239" r:id="rId20"/>
    <sheet name="CafeOrgProducao" sheetId="234" r:id="rId21"/>
    <sheet name="InterpretacaoAnalise" sheetId="56" r:id="rId22"/>
    <sheet name="Fertilizantes" sheetId="149" r:id="rId23"/>
    <sheet name="Unidades" sheetId="34" r:id="rId24"/>
    <sheet name="CustoNutriente" sheetId="35" r:id="rId25"/>
    <sheet name="TeorFoliar" sheetId="68" r:id="rId26"/>
    <sheet name="Plantio1V70" sheetId="226" r:id="rId27"/>
    <sheet name="Plantio2V70" sheetId="229" r:id="rId28"/>
    <sheet name="Plantio3V70" sheetId="228" r:id="rId29"/>
    <sheet name="Plantio2V80" sheetId="227" r:id="rId30"/>
    <sheet name="Substrato" sheetId="74" r:id="rId31"/>
    <sheet name="PlantioForm" sheetId="75" r:id="rId32"/>
    <sheet name="Abacate" sheetId="78" r:id="rId33"/>
    <sheet name="Abacate1a2" sheetId="79" r:id="rId34"/>
    <sheet name="Abacate2a3" sheetId="82" r:id="rId35"/>
    <sheet name="AbacateProd" sheetId="39" r:id="rId36"/>
    <sheet name="Abacaxi" sheetId="28" r:id="rId37"/>
    <sheet name="AboboraRast" sheetId="18" r:id="rId38"/>
    <sheet name="AboboraMoita" sheetId="62" r:id="rId39"/>
    <sheet name="Acerola" sheetId="85" r:id="rId40"/>
    <sheet name="AcerolaForm" sheetId="84" r:id="rId41"/>
    <sheet name="AcerolaProd" sheetId="70" r:id="rId42"/>
    <sheet name="Alface" sheetId="19" r:id="rId43"/>
    <sheet name="Algodao" sheetId="64" r:id="rId44"/>
    <sheet name="Alho" sheetId="13" r:id="rId45"/>
    <sheet name="Ameixa" sheetId="91" r:id="rId46"/>
    <sheet name="Ameixa1a2" sheetId="89" r:id="rId47"/>
    <sheet name="Ameixa3a4" sheetId="88" r:id="rId48"/>
    <sheet name="AmeixaProd" sheetId="43" r:id="rId49"/>
    <sheet name="ArrozSequ" sheetId="46" r:id="rId50"/>
    <sheet name="ArrozInun" sheetId="47" r:id="rId51"/>
    <sheet name="Banana" sheetId="148" r:id="rId52"/>
    <sheet name="BananaPlan" sheetId="147" r:id="rId53"/>
    <sheet name="BananaIrrig" sheetId="187" r:id="rId54"/>
    <sheet name="BananaNao" sheetId="235" r:id="rId55"/>
    <sheet name="Batata" sheetId="11" r:id="rId56"/>
    <sheet name="BatataDoce" sheetId="61" r:id="rId57"/>
    <sheet name="Beterraba" sheetId="20" r:id="rId58"/>
    <sheet name="Berinjela" sheetId="60" r:id="rId59"/>
    <sheet name="Brocolis" sheetId="59" r:id="rId60"/>
    <sheet name="Bucha" sheetId="195" r:id="rId61"/>
    <sheet name="Cacau" sheetId="244" r:id="rId62"/>
    <sheet name="CacauPlan" sheetId="247" r:id="rId63"/>
    <sheet name="Cacau1a2" sheetId="245" r:id="rId64"/>
    <sheet name="CacauProd" sheetId="246" r:id="rId65"/>
    <sheet name="AmostragemCafe" sheetId="172" r:id="rId66"/>
    <sheet name="CafeArabica" sheetId="76" r:id="rId67"/>
    <sheet name="DoseARC" sheetId="253" r:id="rId68"/>
    <sheet name="ArabicaProd" sheetId="151" r:id="rId69"/>
    <sheet name="ArabicaRecep" sheetId="176" r:id="rId70"/>
    <sheet name="ArabicaCusteio" sheetId="152" r:id="rId71"/>
    <sheet name="InfoArabica" sheetId="241" r:id="rId72"/>
    <sheet name="CafeConilon" sheetId="77" r:id="rId73"/>
    <sheet name="ConilonProd" sheetId="153" r:id="rId74"/>
    <sheet name="ConilonFert" sheetId="254" r:id="rId75"/>
    <sheet name="ConilonCusteio" sheetId="154" r:id="rId76"/>
    <sheet name="InfoConilon" sheetId="242" r:id="rId77"/>
    <sheet name="Cana" sheetId="48" r:id="rId78"/>
    <sheet name="Caqui" sheetId="92" r:id="rId79"/>
    <sheet name="Caqui1a2" sheetId="93" r:id="rId80"/>
    <sheet name="Caqui3a4" sheetId="95" r:id="rId81"/>
    <sheet name="CaquiProd" sheetId="53" r:id="rId82"/>
    <sheet name="Cebola" sheetId="21" r:id="rId83"/>
    <sheet name="Cebolinha" sheetId="192" r:id="rId84"/>
    <sheet name="CedroAust" sheetId="200" r:id="rId85"/>
    <sheet name="Cenoura" sheetId="10" r:id="rId86"/>
    <sheet name="Chuchu" sheetId="22" r:id="rId87"/>
    <sheet name="Citrus" sheetId="98" r:id="rId88"/>
    <sheet name="Citrus1a2" sheetId="97" r:id="rId89"/>
    <sheet name="Citrus3a5" sheetId="96" r:id="rId90"/>
    <sheet name="CitrusProd" sheetId="63" r:id="rId91"/>
    <sheet name="CitrusCusteio" sheetId="174" r:id="rId92"/>
    <sheet name="Coco" sheetId="103" r:id="rId93"/>
    <sheet name="Coco1a3" sheetId="101" r:id="rId94"/>
    <sheet name="Coco4a5" sheetId="100" r:id="rId95"/>
    <sheet name="CocoProd" sheetId="54" r:id="rId96"/>
    <sheet name="Couve" sheetId="193" r:id="rId97"/>
    <sheet name="CouveFlor" sheetId="14" r:id="rId98"/>
    <sheet name="Eucalipto" sheetId="49" r:id="rId99"/>
    <sheet name="Feijao" sheetId="3" r:id="rId100"/>
    <sheet name="FeijaoVagem" sheetId="23" r:id="rId101"/>
    <sheet name="Figo" sheetId="107" r:id="rId102"/>
    <sheet name="Figo1a2" sheetId="105" r:id="rId103"/>
    <sheet name="Figo3a4" sheetId="104" r:id="rId104"/>
    <sheet name="FigoProd" sheetId="37" r:id="rId105"/>
    <sheet name="Gengibre" sheetId="183" r:id="rId106"/>
    <sheet name="Goiaba" sheetId="111" r:id="rId107"/>
    <sheet name="Goiaba1a3" sheetId="109" r:id="rId108"/>
    <sheet name="GoiabaProd" sheetId="32" r:id="rId109"/>
    <sheet name="Graviola" sheetId="231" r:id="rId110"/>
    <sheet name="Graviola1a3" sheetId="232" r:id="rId111"/>
    <sheet name="GraviolaProd" sheetId="233" r:id="rId112"/>
    <sheet name="Inhame" sheetId="9" r:id="rId113"/>
    <sheet name="Jilo" sheetId="25" r:id="rId114"/>
    <sheet name="Lichia" sheetId="249" r:id="rId115"/>
    <sheet name="Lichia1a2" sheetId="250" r:id="rId116"/>
    <sheet name="Lichia3a4" sheetId="251" r:id="rId117"/>
    <sheet name="LichiaProd" sheetId="252" r:id="rId118"/>
    <sheet name="Macadamia" sheetId="115" r:id="rId119"/>
    <sheet name="Macadamia1a2" sheetId="114" r:id="rId120"/>
    <sheet name="Macadamia3a4" sheetId="113" r:id="rId121"/>
    <sheet name="MacadamiaProd" sheetId="41" r:id="rId122"/>
    <sheet name="MacadamiaCusteio" sheetId="179" r:id="rId123"/>
    <sheet name="Mamao" sheetId="116" r:id="rId124"/>
    <sheet name="Manga" sheetId="121" r:id="rId125"/>
    <sheet name="Manga1a2" sheetId="119" r:id="rId126"/>
    <sheet name="Manga3a4" sheetId="118" r:id="rId127"/>
    <sheet name="MangaProd" sheetId="27" r:id="rId128"/>
    <sheet name="Mandioca" sheetId="50" r:id="rId129"/>
    <sheet name="Mandioquinha" sheetId="8" r:id="rId130"/>
    <sheet name="Maracuja" sheetId="123" r:id="rId131"/>
    <sheet name="Maracuja1" sheetId="122" r:id="rId132"/>
    <sheet name="MaracujaProd" sheetId="38" r:id="rId133"/>
    <sheet name="Milho" sheetId="236" r:id="rId134"/>
    <sheet name="Morango" sheetId="124" r:id="rId135"/>
    <sheet name="MorangoViveiro" sheetId="71" r:id="rId136"/>
    <sheet name="MorangoProd" sheetId="155" r:id="rId137"/>
    <sheet name="MorangoFert" sheetId="238" r:id="rId138"/>
    <sheet name="Nectarina" sheetId="128" r:id="rId139"/>
    <sheet name="Nectarina1a2" sheetId="126" r:id="rId140"/>
    <sheet name="Nectarina3a4" sheetId="125" r:id="rId141"/>
    <sheet name="NectarinaProd" sheetId="44" r:id="rId142"/>
    <sheet name="Nespera" sheetId="132" r:id="rId143"/>
    <sheet name="Nespera1a2" sheetId="130" r:id="rId144"/>
    <sheet name="Nespera3a4" sheetId="129" r:id="rId145"/>
    <sheet name="NesperaProd" sheetId="40" r:id="rId146"/>
    <sheet name="Pastagem" sheetId="167" r:id="rId147"/>
    <sheet name="PastoSemiForm" sheetId="171" r:id="rId148"/>
    <sheet name="PastoSemiManu" sheetId="170" r:id="rId149"/>
    <sheet name="PastoInteForm" sheetId="169" r:id="rId150"/>
    <sheet name="PastoInteManu" sheetId="168" r:id="rId151"/>
    <sheet name="Pepino" sheetId="26" r:id="rId152"/>
    <sheet name="Pessego" sheetId="136" r:id="rId153"/>
    <sheet name="Pessego1a2" sheetId="134" r:id="rId154"/>
    <sheet name="Pessego3a4" sheetId="133" r:id="rId155"/>
    <sheet name="PessegoProd" sheetId="42" r:id="rId156"/>
    <sheet name="Pimenta" sheetId="194" r:id="rId157"/>
    <sheet name="Pimentao" sheetId="15" r:id="rId158"/>
    <sheet name="PimentaReino" sheetId="181" r:id="rId159"/>
    <sheet name="PimentaReinoProd" sheetId="180" r:id="rId160"/>
    <sheet name="Pupunha" sheetId="139" r:id="rId161"/>
    <sheet name="PupunhaPlan" sheetId="137" r:id="rId162"/>
    <sheet name="PupunhaProd" sheetId="55" r:id="rId163"/>
    <sheet name="Quiabo" sheetId="16" r:id="rId164"/>
    <sheet name="Rabanete" sheetId="190" r:id="rId165"/>
    <sheet name="Repolho" sheetId="5" r:id="rId166"/>
    <sheet name="Salsa" sheetId="191" r:id="rId167"/>
    <sheet name="Seringueira" sheetId="143" r:id="rId168"/>
    <sheet name="Seringueira1a3" sheetId="141" r:id="rId169"/>
    <sheet name="Seringueira4a15" sheetId="140" r:id="rId170"/>
    <sheet name="Seringueira15a" sheetId="51" r:id="rId171"/>
    <sheet name="Tomate" sheetId="58" r:id="rId172"/>
    <sheet name="Uva" sheetId="146" r:id="rId173"/>
    <sheet name="Uva1a2" sheetId="144" r:id="rId174"/>
    <sheet name="UvaProd" sheetId="45" r:id="rId175"/>
  </sheets>
  <definedNames>
    <definedName name="_xlnm.Print_Area" localSheetId="32">Abacate!$C$6:$N$13</definedName>
    <definedName name="_xlnm.Print_Area" localSheetId="33">Abacate1a2!$C$6:$N$45</definedName>
    <definedName name="_xlnm.Print_Area" localSheetId="34">Abacate2a3!$C$6:$N$46</definedName>
    <definedName name="_xlnm.Print_Area" localSheetId="35">AbacateProd!$C$6:$N$43</definedName>
    <definedName name="_xlnm.Print_Area" localSheetId="36">Abacaxi!$C$6:$N$41</definedName>
    <definedName name="_xlnm.Print_Area" localSheetId="38">AboboraMoita!$C$6:$N$39</definedName>
    <definedName name="_xlnm.Print_Area" localSheetId="37">AboboraRast!$C$6:$N$40</definedName>
    <definedName name="_xlnm.Print_Area" localSheetId="39">Acerola!$C$6:$N$12</definedName>
    <definedName name="_xlnm.Print_Area" localSheetId="40">AcerolaForm!$C$6:$N$46</definedName>
    <definedName name="_xlnm.Print_Area" localSheetId="41">AcerolaProd!$C$6:$N$39</definedName>
    <definedName name="_xlnm.Print_Area" localSheetId="42">Alface!$C$6:$N$41</definedName>
    <definedName name="_xlnm.Print_Area" localSheetId="43">Algodao!$C$6:$N$38</definedName>
    <definedName name="_xlnm.Print_Area" localSheetId="44">Alho!$C$6:$N$39</definedName>
    <definedName name="_xlnm.Print_Area" localSheetId="45">Ameixa!$C$6:$N$13</definedName>
    <definedName name="_xlnm.Print_Area" localSheetId="46">Ameixa1a2!$C$6:$N$40</definedName>
    <definedName name="_xlnm.Print_Area" localSheetId="47">Ameixa3a4!$C$6:$O$42</definedName>
    <definedName name="_xlnm.Print_Area" localSheetId="48">AmeixaProd!$C$6:$N$39</definedName>
    <definedName name="_xlnm.Print_Area" localSheetId="65">AmostragemCafe!$C$6:$N$29</definedName>
    <definedName name="_xlnm.Print_Area" localSheetId="70">ArabicaCusteio!$C$6:$N$45</definedName>
    <definedName name="_xlnm.Print_Area" localSheetId="68">ArabicaProd!$C$6:$N$56</definedName>
    <definedName name="_xlnm.Print_Area" localSheetId="69">ArabicaRecep!$C$6:$N$51</definedName>
    <definedName name="_xlnm.Print_Area" localSheetId="50">ArrozInun!$C$6:$N$39</definedName>
    <definedName name="_xlnm.Print_Area" localSheetId="49">ArrozSequ!$C$6:$N$36</definedName>
    <definedName name="_xlnm.Print_Area" localSheetId="51">Banana!$C$6:$N$13</definedName>
    <definedName name="_xlnm.Print_Area" localSheetId="53">BananaIrrig!$C$6:$N$55</definedName>
    <definedName name="_xlnm.Print_Area" localSheetId="54">BananaNao!$C$6:$N$56</definedName>
    <definedName name="_xlnm.Print_Area" localSheetId="52">BananaPlan!$C$6:$N$41</definedName>
    <definedName name="_xlnm.Print_Area" localSheetId="55">Batata!$C$6:$N$33</definedName>
    <definedName name="_xlnm.Print_Area" localSheetId="56">BatataDoce!$C$6:$N$29</definedName>
    <definedName name="_xlnm.Print_Area" localSheetId="58">Berinjela!$C$6:$N$37</definedName>
    <definedName name="_xlnm.Print_Area" localSheetId="57">Beterraba!$C$6:$N$39</definedName>
    <definedName name="_xlnm.Print_Area" localSheetId="59">Brocolis!$C$6:$N$38</definedName>
    <definedName name="_xlnm.Print_Area" localSheetId="60">Bucha!$C$6:$N$39</definedName>
    <definedName name="_xlnm.Print_Area" localSheetId="61">Cacau!$C$6:$N$12</definedName>
    <definedName name="_xlnm.Print_Area" localSheetId="63">Cacau1a2!$C$6:$N$39</definedName>
    <definedName name="_xlnm.Print_Area" localSheetId="62">CacauPlan!$C$6:$N$42</definedName>
    <definedName name="_xlnm.Print_Area" localSheetId="64">CacauProd!$C$6:$N$33</definedName>
    <definedName name="_xlnm.Print_Area" localSheetId="66">CafeArabica!$C$6:$N$18</definedName>
    <definedName name="_xlnm.Print_Area" localSheetId="72">CafeConilon!$C$6:$N$16</definedName>
    <definedName name="_xlnm.Print_Area" localSheetId="20">CafeOrgProducao!$C$6:$N$53</definedName>
    <definedName name="_xlnm.Print_Area" localSheetId="77">Cana!$C$6:$N$46</definedName>
    <definedName name="_xlnm.Print_Area" localSheetId="78">Caqui!$C$6:$N$14</definedName>
    <definedName name="_xlnm.Print_Area" localSheetId="79">Caqui1a2!$C$6:$N$37</definedName>
    <definedName name="_xlnm.Print_Area" localSheetId="80">Caqui3a4!$C$6:$N$39</definedName>
    <definedName name="_xlnm.Print_Area" localSheetId="81">CaquiProd!$A$7:$J$49</definedName>
    <definedName name="_xlnm.Print_Area" localSheetId="82">Cebola!$C$6:$N$37</definedName>
    <definedName name="_xlnm.Print_Area" localSheetId="83">Cebolinha!$C$6:$N$39</definedName>
    <definedName name="_xlnm.Print_Area" localSheetId="84">CedroAust!$C$6:$N$49</definedName>
    <definedName name="_xlnm.Print_Area" localSheetId="85">Cenoura!$C$6:$N$40</definedName>
    <definedName name="_xlnm.Print_Area" localSheetId="86">Chuchu!$C$6:$N$44</definedName>
    <definedName name="_xlnm.Print_Area" localSheetId="87">Citrus!$C$6:$N$14</definedName>
    <definedName name="_xlnm.Print_Area" localSheetId="88">Citrus1a2!$C$6:$N$43</definedName>
    <definedName name="_xlnm.Print_Area" localSheetId="89">Citrus3a5!$C$6:$N$52</definedName>
    <definedName name="_xlnm.Print_Area" localSheetId="91">CitrusCusteio!$C$6:$N$46</definedName>
    <definedName name="_xlnm.Print_Area" localSheetId="90">CitrusProd!$C$6:$N$49</definedName>
    <definedName name="_xlnm.Print_Area" localSheetId="92">Coco!$C$6:$N$1048576</definedName>
    <definedName name="_xlnm.Print_Area" localSheetId="93">Coco1a3!$C$6:$N$43</definedName>
    <definedName name="_xlnm.Print_Area" localSheetId="94">Coco4a5!$C$6:$N$40</definedName>
    <definedName name="_xlnm.Print_Area" localSheetId="95">CocoProd!$C$6:$N$34</definedName>
    <definedName name="_xlnm.Print_Area" localSheetId="75">ConilonCusteio!$C$6:$N$48</definedName>
    <definedName name="_xlnm.Print_Area" localSheetId="74">ConilonFert!$C$84:$N$155</definedName>
    <definedName name="_xlnm.Print_Area" localSheetId="73">ConilonProd!$C$6:$N$55</definedName>
    <definedName name="_xlnm.Print_Area" localSheetId="96">Couve!$A$7:$J$49</definedName>
    <definedName name="_xlnm.Print_Area" localSheetId="97">CouveFlor!$C$6:$N$37</definedName>
    <definedName name="_xlnm.Print_Area" localSheetId="9">CultivoOrg!$A$1:$P$25</definedName>
    <definedName name="_xlnm.Print_Area" localSheetId="13">CultivoOrgG1!$C$6:$N$50</definedName>
    <definedName name="_xlnm.Print_Area" localSheetId="14">CultivoOrgG2!$C$6:$N$58</definedName>
    <definedName name="_xlnm.Print_Area" localSheetId="15">CultivoOrgG3!$C$6:$N$54</definedName>
    <definedName name="_xlnm.Print_Area" localSheetId="16">CultivoOrgG4!$C$6:$N$58</definedName>
    <definedName name="_xlnm.Print_Area" localSheetId="17">CultivoOrgG5!$C$6:$N$55</definedName>
    <definedName name="_xlnm.Print_Area" localSheetId="18">CultivoOrgPlantio!$C$6:$N$56</definedName>
    <definedName name="_xlnm.Print_Area" localSheetId="19">CultivoOrgProducao!$C$6:$N$55</definedName>
    <definedName name="_xlnm.Print_Area" localSheetId="2">Culturas!$A$1:$P$63</definedName>
    <definedName name="_xlnm.Print_Area" localSheetId="24">CustoNutriente!$B$6:$O$58</definedName>
    <definedName name="_xlnm.Print_Area" localSheetId="67">DoseARC!$C$6:$N$18</definedName>
    <definedName name="_xlnm.Print_Area" localSheetId="10">EspacamentoOrg!$C$6:$N$37</definedName>
    <definedName name="_xlnm.Print_Area" localSheetId="98">Eucalipto!$C$6:$N$39</definedName>
    <definedName name="_xlnm.Print_Area" localSheetId="11">ExigenciaN!$C$6:$N$36</definedName>
    <definedName name="_xlnm.Print_Area" localSheetId="99">Feijao!$C$6:$N$38</definedName>
    <definedName name="_xlnm.Print_Area" localSheetId="100">FeijaoVagem!$C$6:$N$41</definedName>
    <definedName name="_xlnm.Print_Area" localSheetId="22">Fertilizantes!$C$6:$N$60</definedName>
    <definedName name="_xlnm.Print_Area" localSheetId="12">FertiOrg!$C$6:$N$25</definedName>
    <definedName name="_xlnm.Print_Area" localSheetId="4">Fertirrigacao!$A$1:$P$62</definedName>
    <definedName name="_xlnm.Print_Area" localSheetId="7">FertirrigacaoGeral!$C$6:$N$56</definedName>
    <definedName name="_xlnm.Print_Area" localSheetId="101">Figo!$C$6:$N$14</definedName>
    <definedName name="_xlnm.Print_Area" localSheetId="102">Figo1a2!$C$6:$N$39</definedName>
    <definedName name="_xlnm.Print_Area" localSheetId="103">Figo3a4!$C$6:$N$41</definedName>
    <definedName name="_xlnm.Print_Area" localSheetId="104">FigoProd!$C$6:$N$38</definedName>
    <definedName name="_xlnm.Print_Area" localSheetId="105">Gengibre!$C$6:$N$40</definedName>
    <definedName name="_xlnm.Print_Area" localSheetId="5">Gesso!$A$1:$P$26</definedName>
    <definedName name="_xlnm.Print_Area" localSheetId="106">Goiaba!$C$6:$N$14</definedName>
    <definedName name="_xlnm.Print_Area" localSheetId="107">Goiaba1a3!$C$6:$N$47</definedName>
    <definedName name="_xlnm.Print_Area" localSheetId="108">GoiabaProd!$C$6:$N$37</definedName>
    <definedName name="_xlnm.Print_Area" localSheetId="109">Graviola!$C$6:$N$13</definedName>
    <definedName name="_xlnm.Print_Area" localSheetId="110">Graviola1a3!$C$6:$N$45</definedName>
    <definedName name="_xlnm.Print_Area" localSheetId="111">GraviolaProd!$C$6:$N$36</definedName>
    <definedName name="_xlnm.Print_Area" localSheetId="71">InfoArabica!$A$1:$O$147</definedName>
    <definedName name="_xlnm.Print_Area" localSheetId="76">InfoConilon!$A$1:$M$57</definedName>
    <definedName name="_xlnm.Print_Area" localSheetId="112">Inhame!$C$6:$N$51</definedName>
    <definedName name="_xlnm.Print_Area" localSheetId="1">Inicial!$B$6:$O$26</definedName>
    <definedName name="_xlnm.Print_Area" localSheetId="21">InterpretacaoAnalise!$C$6:$N$73</definedName>
    <definedName name="_xlnm.Print_Area" localSheetId="113">Jilo!$C$6:$N$38</definedName>
    <definedName name="_xlnm.Print_Area" localSheetId="114">Lichia!$C$6:$N$14</definedName>
    <definedName name="_xlnm.Print_Area" localSheetId="115">Lichia1a2!$C$6:$N$38</definedName>
    <definedName name="_xlnm.Print_Area" localSheetId="116">Lichia3a4!$C$6:$N$41</definedName>
    <definedName name="_xlnm.Print_Area" localSheetId="117">LichiaProd!$C$6:$N$46</definedName>
    <definedName name="_xlnm.Print_Area" localSheetId="118">Macadamia!$C$6:$N$14</definedName>
    <definedName name="_xlnm.Print_Area" localSheetId="119">Macadamia1a2!$A$7:$J$49</definedName>
    <definedName name="_xlnm.Print_Area" localSheetId="120">Macadamia3a4!$C$6:$N$41</definedName>
    <definedName name="_xlnm.Print_Area" localSheetId="122">MacadamiaCusteio!$C$6:$N$47</definedName>
    <definedName name="_xlnm.Print_Area" localSheetId="121">MacadamiaProd!$A$7:$J$49</definedName>
    <definedName name="_xlnm.Print_Area" localSheetId="123">Mamao!$C$6:$N$40</definedName>
    <definedName name="_xlnm.Print_Area" localSheetId="128">Mandioca!$C$6:$N$38</definedName>
    <definedName name="_xlnm.Print_Area" localSheetId="129">Mandioquinha!$C$6:$N$40</definedName>
    <definedName name="_xlnm.Print_Area" localSheetId="124">Manga!$C$6:$N$15</definedName>
    <definedName name="_xlnm.Print_Area" localSheetId="125">Manga1a2!$C$6:$N$41</definedName>
    <definedName name="_xlnm.Print_Area" localSheetId="126">Manga3a4!$C$6:$N$40</definedName>
    <definedName name="_xlnm.Print_Area" localSheetId="127">MangaProd!$C$6:$N$36</definedName>
    <definedName name="_xlnm.Print_Area" localSheetId="130">Maracuja!$C$6:$N$14</definedName>
    <definedName name="_xlnm.Print_Area" localSheetId="131">Maracuja1!$C$6:$N$47</definedName>
    <definedName name="_xlnm.Print_Area" localSheetId="132">MaracujaProd!$C$6:$N$39</definedName>
    <definedName name="_xlnm.Print_Area" localSheetId="133">Milho!$C$6:$N$49</definedName>
    <definedName name="_xlnm.Print_Area" localSheetId="134">Morango!$C$6:$N$12</definedName>
    <definedName name="_xlnm.Print_Area" localSheetId="137">MorangoFert!$C$38:$N$66</definedName>
    <definedName name="_xlnm.Print_Area" localSheetId="136">MorangoProd!$C$6:$N$56</definedName>
    <definedName name="_xlnm.Print_Area" localSheetId="135">MorangoViveiro!$C$6:$N$40</definedName>
    <definedName name="_xlnm.Print_Area" localSheetId="138">Nectarina!$C$6:$N$14</definedName>
    <definedName name="_xlnm.Print_Area" localSheetId="139">Nectarina1a2!$C$6:$N$39</definedName>
    <definedName name="_xlnm.Print_Area" localSheetId="140">Nectarina3a4!$C$6:$N$41</definedName>
    <definedName name="_xlnm.Print_Area" localSheetId="141">NectarinaProd!$C$6:$N$38</definedName>
    <definedName name="_xlnm.Print_Area" localSheetId="142">Nespera!$C$6:$N$13</definedName>
    <definedName name="_xlnm.Print_Area" localSheetId="143">Nespera1a2!$C$6:$N$42</definedName>
    <definedName name="_xlnm.Print_Area" localSheetId="144">Nespera3a4!$C$6:$N$41</definedName>
    <definedName name="_xlnm.Print_Area" localSheetId="145">NesperaProd!$C$6:$N$39</definedName>
    <definedName name="_xlnm.Print_Area" localSheetId="146">Pastagem!$C$6:$N$37</definedName>
    <definedName name="_xlnm.Print_Area" localSheetId="149">PastoInteForm!$C$6:$N$48</definedName>
    <definedName name="_xlnm.Print_Area" localSheetId="150">PastoInteManu!$C$6:$N$49</definedName>
    <definedName name="_xlnm.Print_Area" localSheetId="147">PastoSemiForm!$C$6:$N$51</definedName>
    <definedName name="_xlnm.Print_Area" localSheetId="148">PastoSemiManu!$C$6:$N$47</definedName>
    <definedName name="_xlnm.Print_Area" localSheetId="151">Pepino!$A$1:$K$51</definedName>
    <definedName name="_xlnm.Print_Area" localSheetId="152">Pessego!$C$6:$N$13</definedName>
    <definedName name="_xlnm.Print_Area" localSheetId="153">Pessego1a2!$C$6:$N$41</definedName>
    <definedName name="_xlnm.Print_Area" localSheetId="154">Pessego3a4!$C$6:$N$44</definedName>
    <definedName name="_xlnm.Print_Area" localSheetId="155">PessegoProd!$C$6:$N$40</definedName>
    <definedName name="_xlnm.Print_Area" localSheetId="156">Pimenta!$C$6:$N$36</definedName>
    <definedName name="_xlnm.Print_Area" localSheetId="157">Pimentao!$C$6:$N$37</definedName>
    <definedName name="_xlnm.Print_Area" localSheetId="158">PimentaReino!$A$1:$K$51</definedName>
    <definedName name="_xlnm.Print_Area" localSheetId="159">PimentaReinoProd!$C$6:$N$38</definedName>
    <definedName name="_xlnm.Print_Area" localSheetId="26">Plantio1V70!$C$6:$N$38</definedName>
    <definedName name="_xlnm.Print_Area" localSheetId="27">Plantio2V70!$C$6:$N$38</definedName>
    <definedName name="_xlnm.Print_Area" localSheetId="29">Plantio2V80!$C$6:$N$41</definedName>
    <definedName name="_xlnm.Print_Area" localSheetId="28">Plantio3V70!$C$6:$N$45</definedName>
    <definedName name="_xlnm.Print_Area" localSheetId="31">PlantioForm!$C$6:$N$45</definedName>
    <definedName name="_xlnm.Print_Area" localSheetId="160">Pupunha!$C$6:$N$33</definedName>
    <definedName name="_xlnm.Print_Area" localSheetId="161">PupunhaPlan!$C$6:$N$43</definedName>
    <definedName name="_xlnm.Print_Area" localSheetId="162">PupunhaProd!$C$6:$N$34</definedName>
    <definedName name="_xlnm.Print_Area" localSheetId="163">Quiabo!$C$6:$N$38</definedName>
    <definedName name="_xlnm.Print_Area" localSheetId="164">Rabanete!$C$6:$N$39</definedName>
    <definedName name="_xlnm.Print_Area" localSheetId="3">RecomendacaoMicro!$A$1:$P$22</definedName>
    <definedName name="_xlnm.Print_Area" localSheetId="165">Repolho!$C$6:$N$36</definedName>
    <definedName name="_xlnm.Print_Area" localSheetId="166">Salsa!$C$6:$N$39</definedName>
    <definedName name="_xlnm.Print_Area" localSheetId="167">Seringueira!$C$6:$N$13</definedName>
    <definedName name="_xlnm.Print_Area" localSheetId="170">Seringueira15a!$C$6:$N$39</definedName>
    <definedName name="_xlnm.Print_Area" localSheetId="168">Seringueira1a3!$C$6:$N$46</definedName>
    <definedName name="_xlnm.Print_Area" localSheetId="169">Seringueira4a15!$C$6:$N$44</definedName>
    <definedName name="_xlnm.Print_Area" localSheetId="30">Substrato!$C$6:$N$20</definedName>
    <definedName name="_xlnm.Print_Area" localSheetId="8">TabFertirrigacao!$C$6:$N$37</definedName>
    <definedName name="_xlnm.Print_Area" localSheetId="25">TeorFoliar!$B$6:$N$93</definedName>
    <definedName name="_xlnm.Print_Area" localSheetId="171">Tomate!$C$6:$N$47</definedName>
    <definedName name="_xlnm.Print_Area" localSheetId="23">Unidades!$C$6:$N$47</definedName>
    <definedName name="_xlnm.Print_Area" localSheetId="6">Utilidades!$A$1:$P$20</definedName>
    <definedName name="_xlnm.Print_Area" localSheetId="172">Uva!$C$6:$N$12</definedName>
    <definedName name="_xlnm.Print_Area" localSheetId="173">Uva1a2!$C$6:$N$45</definedName>
    <definedName name="_xlnm.Print_Area" localSheetId="174">UvaProd!$C$6:$N$54</definedName>
    <definedName name="_xlnm.Print_Titles" localSheetId="32">Abacate!$1:$3</definedName>
    <definedName name="_xlnm.Print_Titles" localSheetId="33">Abacate1a2!$1:$3</definedName>
    <definedName name="_xlnm.Print_Titles" localSheetId="34">Abacate2a3!$1:$3</definedName>
    <definedName name="_xlnm.Print_Titles" localSheetId="35">AbacateProd!$1:$3</definedName>
    <definedName name="_xlnm.Print_Titles" localSheetId="36">Abacaxi!$1:$3</definedName>
    <definedName name="_xlnm.Print_Titles" localSheetId="38">AboboraMoita!$1:$3</definedName>
    <definedName name="_xlnm.Print_Titles" localSheetId="37">AboboraRast!$1:$3</definedName>
    <definedName name="_xlnm.Print_Titles" localSheetId="39">Acerola!$1:$3</definedName>
    <definedName name="_xlnm.Print_Titles" localSheetId="40">AcerolaForm!$1:$3</definedName>
    <definedName name="_xlnm.Print_Titles" localSheetId="41">AcerolaProd!$1:$3</definedName>
    <definedName name="_xlnm.Print_Titles" localSheetId="42">Alface!$1:$3</definedName>
    <definedName name="_xlnm.Print_Titles" localSheetId="43">Algodao!$1:$3</definedName>
    <definedName name="_xlnm.Print_Titles" localSheetId="44">Alho!$1:$3</definedName>
    <definedName name="_xlnm.Print_Titles" localSheetId="45">Ameixa!$1:$3</definedName>
    <definedName name="_xlnm.Print_Titles" localSheetId="46">Ameixa1a2!$1:$3</definedName>
    <definedName name="_xlnm.Print_Titles" localSheetId="47">Ameixa3a4!$1:$3</definedName>
    <definedName name="_xlnm.Print_Titles" localSheetId="48">AmeixaProd!$1:$3</definedName>
    <definedName name="_xlnm.Print_Titles" localSheetId="65">AmostragemCafe!$1:$3</definedName>
    <definedName name="_xlnm.Print_Titles" localSheetId="70">ArabicaCusteio!$1:$3</definedName>
    <definedName name="_xlnm.Print_Titles" localSheetId="68">ArabicaProd!$1:$3</definedName>
    <definedName name="_xlnm.Print_Titles" localSheetId="69">ArabicaRecep!$1:$3</definedName>
    <definedName name="_xlnm.Print_Titles" localSheetId="50">ArrozInun!$1:$3</definedName>
    <definedName name="_xlnm.Print_Titles" localSheetId="49">ArrozSequ!$1:$3</definedName>
    <definedName name="_xlnm.Print_Titles" localSheetId="51">Banana!$1:$3</definedName>
    <definedName name="_xlnm.Print_Titles" localSheetId="53">BananaIrrig!$1:$3</definedName>
    <definedName name="_xlnm.Print_Titles" localSheetId="54">BananaNao!$1:$3</definedName>
    <definedName name="_xlnm.Print_Titles" localSheetId="52">BananaPlan!$1:$3</definedName>
    <definedName name="_xlnm.Print_Titles" localSheetId="55">Batata!$1:$3</definedName>
    <definedName name="_xlnm.Print_Titles" localSheetId="56">BatataDoce!$1:$3</definedName>
    <definedName name="_xlnm.Print_Titles" localSheetId="58">Berinjela!$1:$3</definedName>
    <definedName name="_xlnm.Print_Titles" localSheetId="57">Beterraba!$1:$3</definedName>
    <definedName name="_xlnm.Print_Titles" localSheetId="59">Brocolis!$1:$3</definedName>
    <definedName name="_xlnm.Print_Titles" localSheetId="60">Bucha!$1:$3</definedName>
    <definedName name="_xlnm.Print_Titles" localSheetId="61">Cacau!$1:$3</definedName>
    <definedName name="_xlnm.Print_Titles" localSheetId="63">Cacau1a2!$1:$3</definedName>
    <definedName name="_xlnm.Print_Titles" localSheetId="62">CacauPlan!$1:$3</definedName>
    <definedName name="_xlnm.Print_Titles" localSheetId="64">CacauProd!$1:$3</definedName>
    <definedName name="_xlnm.Print_Titles" localSheetId="66">CafeArabica!$1:$3</definedName>
    <definedName name="_xlnm.Print_Titles" localSheetId="72">CafeConilon!$1:$3</definedName>
    <definedName name="_xlnm.Print_Titles" localSheetId="20">CafeOrgProducao!$1:$3</definedName>
    <definedName name="_xlnm.Print_Titles" localSheetId="77">Cana!$1:$3</definedName>
    <definedName name="_xlnm.Print_Titles" localSheetId="78">Caqui!$1:$3</definedName>
    <definedName name="_xlnm.Print_Titles" localSheetId="79">Caqui1a2!$1:$3</definedName>
    <definedName name="_xlnm.Print_Titles" localSheetId="80">Caqui3a4!$1:$3</definedName>
    <definedName name="_xlnm.Print_Titles" localSheetId="81">CaquiProd!$1:$3</definedName>
    <definedName name="_xlnm.Print_Titles" localSheetId="82">Cebola!$1:$3</definedName>
    <definedName name="_xlnm.Print_Titles" localSheetId="83">Cebolinha!$1:$3</definedName>
    <definedName name="_xlnm.Print_Titles" localSheetId="84">CedroAust!$1:$3</definedName>
    <definedName name="_xlnm.Print_Titles" localSheetId="85">Cenoura!$1:$3</definedName>
    <definedName name="_xlnm.Print_Titles" localSheetId="86">Chuchu!$1:$3</definedName>
    <definedName name="_xlnm.Print_Titles" localSheetId="87">Citrus!$1:$3</definedName>
    <definedName name="_xlnm.Print_Titles" localSheetId="88">Citrus1a2!$1:$3</definedName>
    <definedName name="_xlnm.Print_Titles" localSheetId="89">Citrus3a5!$1:$3</definedName>
    <definedName name="_xlnm.Print_Titles" localSheetId="91">CitrusCusteio!$1:$3</definedName>
    <definedName name="_xlnm.Print_Titles" localSheetId="90">CitrusProd!$1:$3</definedName>
    <definedName name="_xlnm.Print_Titles" localSheetId="92">Coco!$1:$3</definedName>
    <definedName name="_xlnm.Print_Titles" localSheetId="93">Coco1a3!$1:$3</definedName>
    <definedName name="_xlnm.Print_Titles" localSheetId="94">Coco4a5!$1:$3</definedName>
    <definedName name="_xlnm.Print_Titles" localSheetId="95">CocoProd!$1:$3</definedName>
    <definedName name="_xlnm.Print_Titles" localSheetId="75">ConilonCusteio!$1:$3</definedName>
    <definedName name="_xlnm.Print_Titles" localSheetId="74">ConilonFert!$1:$3</definedName>
    <definedName name="_xlnm.Print_Titles" localSheetId="73">ConilonProd!$1:$3</definedName>
    <definedName name="_xlnm.Print_Titles" localSheetId="96">Couve!$1:$3</definedName>
    <definedName name="_xlnm.Print_Titles" localSheetId="97">CouveFlor!$1:$3</definedName>
    <definedName name="_xlnm.Print_Titles" localSheetId="13">CultivoOrgG1!$1:$3</definedName>
    <definedName name="_xlnm.Print_Titles" localSheetId="14">CultivoOrgG2!$1:$3</definedName>
    <definedName name="_xlnm.Print_Titles" localSheetId="15">CultivoOrgG3!$1:$3</definedName>
    <definedName name="_xlnm.Print_Titles" localSheetId="16">CultivoOrgG4!$1:$3</definedName>
    <definedName name="_xlnm.Print_Titles" localSheetId="17">CultivoOrgG5!$1:$3</definedName>
    <definedName name="_xlnm.Print_Titles" localSheetId="18">CultivoOrgPlantio!$1:$3</definedName>
    <definedName name="_xlnm.Print_Titles" localSheetId="19">CultivoOrgProducao!$1:$3</definedName>
    <definedName name="_xlnm.Print_Titles" localSheetId="24">CustoNutriente!$1:$3</definedName>
    <definedName name="_xlnm.Print_Titles" localSheetId="67">DoseARC!$1:$3</definedName>
    <definedName name="_xlnm.Print_Titles" localSheetId="10">EspacamentoOrg!$1:$3</definedName>
    <definedName name="_xlnm.Print_Titles" localSheetId="98">Eucalipto!$1:$3</definedName>
    <definedName name="_xlnm.Print_Titles" localSheetId="11">ExigenciaN!$1:$3</definedName>
    <definedName name="_xlnm.Print_Titles" localSheetId="99">Feijao!$1:$3</definedName>
    <definedName name="_xlnm.Print_Titles" localSheetId="100">FeijaoVagem!$1:$3</definedName>
    <definedName name="_xlnm.Print_Titles" localSheetId="22">Fertilizantes!$1:$3</definedName>
    <definedName name="_xlnm.Print_Titles" localSheetId="12">FertiOrg!$1:$3</definedName>
    <definedName name="_xlnm.Print_Titles" localSheetId="7">FertirrigacaoGeral!$1:$3</definedName>
    <definedName name="_xlnm.Print_Titles" localSheetId="101">Figo!$1:$3</definedName>
    <definedName name="_xlnm.Print_Titles" localSheetId="102">Figo1a2!$1:$3</definedName>
    <definedName name="_xlnm.Print_Titles" localSheetId="103">Figo3a4!$1:$3</definedName>
    <definedName name="_xlnm.Print_Titles" localSheetId="104">FigoProd!$1:$3</definedName>
    <definedName name="_xlnm.Print_Titles" localSheetId="105">Gengibre!$1:$3</definedName>
    <definedName name="_xlnm.Print_Titles" localSheetId="106">Goiaba!$1:$3</definedName>
    <definedName name="_xlnm.Print_Titles" localSheetId="107">Goiaba1a3!$1:$3</definedName>
    <definedName name="_xlnm.Print_Titles" localSheetId="108">GoiabaProd!$1:$3</definedName>
    <definedName name="_xlnm.Print_Titles" localSheetId="109">Graviola!$1:$3</definedName>
    <definedName name="_xlnm.Print_Titles" localSheetId="110">Graviola1a3!$1:$3</definedName>
    <definedName name="_xlnm.Print_Titles" localSheetId="111">GraviolaProd!$1:$3</definedName>
    <definedName name="_xlnm.Print_Titles" localSheetId="71">InfoArabica!$1:$6</definedName>
    <definedName name="_xlnm.Print_Titles" localSheetId="112">Inhame!$1:$3</definedName>
    <definedName name="_xlnm.Print_Titles" localSheetId="1">Inicial!$1:$3</definedName>
    <definedName name="_xlnm.Print_Titles" localSheetId="21">InterpretacaoAnalise!$1:$3</definedName>
    <definedName name="_xlnm.Print_Titles" localSheetId="113">Jilo!$1:$3</definedName>
    <definedName name="_xlnm.Print_Titles" localSheetId="114">Lichia!$1:$3</definedName>
    <definedName name="_xlnm.Print_Titles" localSheetId="115">Lichia1a2!$1:$3</definedName>
    <definedName name="_xlnm.Print_Titles" localSheetId="116">Lichia3a4!$1:$3</definedName>
    <definedName name="_xlnm.Print_Titles" localSheetId="117">LichiaProd!$1:$3</definedName>
    <definedName name="_xlnm.Print_Titles" localSheetId="118">Macadamia!$1:$3</definedName>
    <definedName name="_xlnm.Print_Titles" localSheetId="119">Macadamia1a2!$1:$3</definedName>
    <definedName name="_xlnm.Print_Titles" localSheetId="120">Macadamia3a4!$1:$3</definedName>
    <definedName name="_xlnm.Print_Titles" localSheetId="122">MacadamiaCusteio!$1:$3</definedName>
    <definedName name="_xlnm.Print_Titles" localSheetId="121">MacadamiaProd!$1:$3</definedName>
    <definedName name="_xlnm.Print_Titles" localSheetId="123">Mamao!$1:$3</definedName>
    <definedName name="_xlnm.Print_Titles" localSheetId="128">Mandioca!$1:$3</definedName>
    <definedName name="_xlnm.Print_Titles" localSheetId="129">Mandioquinha!$1:$3</definedName>
    <definedName name="_xlnm.Print_Titles" localSheetId="124">Manga!$1:$3</definedName>
    <definedName name="_xlnm.Print_Titles" localSheetId="125">Manga1a2!$1:$3</definedName>
    <definedName name="_xlnm.Print_Titles" localSheetId="126">Manga3a4!$1:$3</definedName>
    <definedName name="_xlnm.Print_Titles" localSheetId="127">MangaProd!$1:$3</definedName>
    <definedName name="_xlnm.Print_Titles" localSheetId="130">Maracuja!$1:$3</definedName>
    <definedName name="_xlnm.Print_Titles" localSheetId="131">Maracuja1!$1:$3</definedName>
    <definedName name="_xlnm.Print_Titles" localSheetId="132">MaracujaProd!$1:$3</definedName>
    <definedName name="_xlnm.Print_Titles" localSheetId="133">Milho!$1:$3</definedName>
    <definedName name="_xlnm.Print_Titles" localSheetId="134">Morango!$1:$3</definedName>
    <definedName name="_xlnm.Print_Titles" localSheetId="137">MorangoFert!$1:$3</definedName>
    <definedName name="_xlnm.Print_Titles" localSheetId="136">MorangoProd!$1:$3</definedName>
    <definedName name="_xlnm.Print_Titles" localSheetId="135">MorangoViveiro!$1:$3</definedName>
    <definedName name="_xlnm.Print_Titles" localSheetId="138">Nectarina!$1:$3</definedName>
    <definedName name="_xlnm.Print_Titles" localSheetId="139">Nectarina1a2!$1:$3</definedName>
    <definedName name="_xlnm.Print_Titles" localSheetId="140">Nectarina3a4!$1:$3</definedName>
    <definedName name="_xlnm.Print_Titles" localSheetId="141">NectarinaProd!$1:$3</definedName>
    <definedName name="_xlnm.Print_Titles" localSheetId="142">Nespera!$1:$3</definedName>
    <definedName name="_xlnm.Print_Titles" localSheetId="143">Nespera1a2!$1:$3</definedName>
    <definedName name="_xlnm.Print_Titles" localSheetId="144">Nespera3a4!$1:$3</definedName>
    <definedName name="_xlnm.Print_Titles" localSheetId="145">NesperaProd!$1:$3</definedName>
    <definedName name="_xlnm.Print_Titles" localSheetId="146">Pastagem!$1:$3</definedName>
    <definedName name="_xlnm.Print_Titles" localSheetId="149">PastoInteForm!$1:$3</definedName>
    <definedName name="_xlnm.Print_Titles" localSheetId="150">PastoInteManu!$1:$3</definedName>
    <definedName name="_xlnm.Print_Titles" localSheetId="147">PastoSemiForm!$1:$3</definedName>
    <definedName name="_xlnm.Print_Titles" localSheetId="148">PastoSemiManu!$1:$3</definedName>
    <definedName name="_xlnm.Print_Titles" localSheetId="151">Pepino!$1:$3</definedName>
    <definedName name="_xlnm.Print_Titles" localSheetId="152">Pessego!$1:$3</definedName>
    <definedName name="_xlnm.Print_Titles" localSheetId="153">Pessego1a2!$1:$3</definedName>
    <definedName name="_xlnm.Print_Titles" localSheetId="154">Pessego3a4!$1:$3</definedName>
    <definedName name="_xlnm.Print_Titles" localSheetId="155">PessegoProd!$1:$3</definedName>
    <definedName name="_xlnm.Print_Titles" localSheetId="156">Pimenta!$1:$3</definedName>
    <definedName name="_xlnm.Print_Titles" localSheetId="157">Pimentao!$1:$3</definedName>
    <definedName name="_xlnm.Print_Titles" localSheetId="158">PimentaReino!$1:$3</definedName>
    <definedName name="_xlnm.Print_Titles" localSheetId="159">PimentaReinoProd!$1:$3</definedName>
    <definedName name="_xlnm.Print_Titles" localSheetId="26">Plantio1V70!$1:$3</definedName>
    <definedName name="_xlnm.Print_Titles" localSheetId="27">Plantio2V70!$1:$3</definedName>
    <definedName name="_xlnm.Print_Titles" localSheetId="29">Plantio2V80!$1:$3</definedName>
    <definedName name="_xlnm.Print_Titles" localSheetId="28">Plantio3V70!$1:$3</definedName>
    <definedName name="_xlnm.Print_Titles" localSheetId="31">PlantioForm!$1:$3</definedName>
    <definedName name="_xlnm.Print_Titles" localSheetId="160">Pupunha!$1:$3</definedName>
    <definedName name="_xlnm.Print_Titles" localSheetId="161">PupunhaPlan!$1:$3</definedName>
    <definedName name="_xlnm.Print_Titles" localSheetId="162">PupunhaProd!$1:$3</definedName>
    <definedName name="_xlnm.Print_Titles" localSheetId="163">Quiabo!$1:$3</definedName>
    <definedName name="_xlnm.Print_Titles" localSheetId="164">Rabanete!$1:$3</definedName>
    <definedName name="_xlnm.Print_Titles" localSheetId="165">Repolho!$1:$3</definedName>
    <definedName name="_xlnm.Print_Titles" localSheetId="166">Salsa!$1:$3</definedName>
    <definedName name="_xlnm.Print_Titles" localSheetId="167">Seringueira!$1:$3</definedName>
    <definedName name="_xlnm.Print_Titles" localSheetId="170">Seringueira15a!$1:$3</definedName>
    <definedName name="_xlnm.Print_Titles" localSheetId="168">Seringueira1a3!$1:$3</definedName>
    <definedName name="_xlnm.Print_Titles" localSheetId="169">Seringueira4a15!$1:$3</definedName>
    <definedName name="_xlnm.Print_Titles" localSheetId="30">Substrato!$1:$3</definedName>
    <definedName name="_xlnm.Print_Titles" localSheetId="8">TabFertirrigacao!$1:$3</definedName>
    <definedName name="_xlnm.Print_Titles" localSheetId="25">TeorFoliar!$1:$3</definedName>
    <definedName name="_xlnm.Print_Titles" localSheetId="171">Tomate!$1:$3</definedName>
    <definedName name="_xlnm.Print_Titles" localSheetId="23">Unidades!$1:$3</definedName>
    <definedName name="_xlnm.Print_Titles" localSheetId="172">Uva!$1:$3</definedName>
    <definedName name="_xlnm.Print_Titles" localSheetId="173">Uva1a2!$1:$3</definedName>
    <definedName name="_xlnm.Print_Titles" localSheetId="174">UvaProd!$1:$3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238" l="1"/>
  <c r="E65" i="238"/>
  <c r="W22" i="238"/>
  <c r="W19" i="238"/>
  <c r="W15" i="238" s="1"/>
  <c r="W14" i="238"/>
  <c r="E55" i="155"/>
  <c r="W35" i="155"/>
  <c r="W33" i="155"/>
  <c r="G30" i="155"/>
  <c r="G26" i="155"/>
  <c r="G25" i="155"/>
  <c r="G24" i="155"/>
  <c r="G22" i="155"/>
  <c r="G29" i="155"/>
  <c r="G40" i="155"/>
  <c r="F11" i="124"/>
  <c r="K10" i="155"/>
  <c r="E39" i="71"/>
  <c r="E48" i="236"/>
  <c r="G26" i="71"/>
  <c r="W25" i="71"/>
  <c r="H25" i="71" s="1"/>
  <c r="G23" i="71"/>
  <c r="E38" i="38"/>
  <c r="F28" i="38"/>
  <c r="F29" i="38"/>
  <c r="E29" i="38"/>
  <c r="E28" i="38"/>
  <c r="W27" i="38"/>
  <c r="W29" i="38"/>
  <c r="W28" i="38"/>
  <c r="Y28" i="38"/>
  <c r="G28" i="38" s="1"/>
  <c r="G22" i="38"/>
  <c r="E46" i="122"/>
  <c r="G23" i="122"/>
  <c r="W25" i="122" s="1"/>
  <c r="W23" i="122"/>
  <c r="N10" i="122"/>
  <c r="W24" i="122" s="1"/>
  <c r="G26" i="122" s="1"/>
  <c r="E35" i="27"/>
  <c r="G22" i="27"/>
  <c r="E39" i="118"/>
  <c r="G30" i="118"/>
  <c r="E40" i="119"/>
  <c r="G27" i="119"/>
  <c r="I21" i="69"/>
  <c r="E8" i="179"/>
  <c r="E47" i="41"/>
  <c r="G24" i="41"/>
  <c r="G37" i="41"/>
  <c r="G36" i="41"/>
  <c r="E40" i="113"/>
  <c r="G30" i="113"/>
  <c r="E39" i="114"/>
  <c r="W28" i="114"/>
  <c r="G25" i="114"/>
  <c r="W26" i="238" l="1"/>
  <c r="I49" i="238" s="1"/>
  <c r="W16" i="238"/>
  <c r="W23" i="238" s="1"/>
  <c r="W24" i="238" s="1"/>
  <c r="W27" i="238" s="1"/>
  <c r="H31" i="71"/>
  <c r="H29" i="71"/>
  <c r="H30" i="71"/>
  <c r="E45" i="252" l="1"/>
  <c r="H31" i="252"/>
  <c r="H33" i="252"/>
  <c r="H32" i="252"/>
  <c r="J31" i="252"/>
  <c r="J30" i="252"/>
  <c r="W26" i="252"/>
  <c r="G23" i="252"/>
  <c r="G35" i="252"/>
  <c r="E40" i="251"/>
  <c r="H22" i="251"/>
  <c r="H15" i="251"/>
  <c r="G30" i="251"/>
  <c r="W19" i="250"/>
  <c r="E38" i="250"/>
  <c r="G28" i="250"/>
  <c r="Y20" i="250"/>
  <c r="H20" i="250" s="1"/>
  <c r="G20" i="250"/>
  <c r="G19" i="250"/>
  <c r="E35" i="233"/>
  <c r="W25" i="233"/>
  <c r="G22" i="233"/>
  <c r="E44" i="232"/>
  <c r="W26" i="232"/>
  <c r="W19" i="232"/>
  <c r="G35" i="232"/>
  <c r="E36" i="32"/>
  <c r="G22" i="32"/>
  <c r="E46" i="109"/>
  <c r="G36" i="109"/>
  <c r="W20" i="109"/>
  <c r="Y28" i="109"/>
  <c r="H28" i="109" s="1"/>
  <c r="Y21" i="109"/>
  <c r="W27" i="109"/>
  <c r="E37" i="37"/>
  <c r="G23" i="37"/>
  <c r="E40" i="104"/>
  <c r="G30" i="104"/>
  <c r="E38" i="105"/>
  <c r="Y20" i="105"/>
  <c r="H20" i="105" s="1"/>
  <c r="G28" i="105"/>
  <c r="E37" i="14"/>
  <c r="E33" i="54"/>
  <c r="G20" i="54"/>
  <c r="E39" i="100"/>
  <c r="G30" i="100"/>
  <c r="E42" i="101"/>
  <c r="G33" i="101"/>
  <c r="J23" i="63"/>
  <c r="I32" i="63"/>
  <c r="F10" i="103"/>
  <c r="E48" i="63"/>
  <c r="G25" i="63"/>
  <c r="U24" i="63"/>
  <c r="I13" i="174"/>
  <c r="E8" i="174"/>
  <c r="F13" i="98"/>
  <c r="E51" i="96"/>
  <c r="W21" i="96"/>
  <c r="G37" i="96"/>
  <c r="Y15" i="96"/>
  <c r="H15" i="96" s="1"/>
  <c r="E42" i="97"/>
  <c r="G24" i="97"/>
  <c r="E43" i="22"/>
  <c r="E39" i="10"/>
  <c r="E48" i="200"/>
  <c r="E38" i="192"/>
  <c r="E36" i="21"/>
  <c r="I26" i="53"/>
  <c r="G22" i="53"/>
  <c r="E35" i="53"/>
  <c r="E36" i="93"/>
  <c r="E38" i="95"/>
  <c r="G15" i="95"/>
  <c r="W14" i="95"/>
  <c r="G14" i="95" s="1"/>
  <c r="I15" i="95"/>
  <c r="G30" i="95"/>
  <c r="G28" i="93"/>
  <c r="F12" i="92"/>
  <c r="F11" i="92"/>
  <c r="F10" i="92"/>
  <c r="F9" i="92"/>
  <c r="F8" i="92"/>
  <c r="F11" i="98"/>
  <c r="F12" i="98"/>
  <c r="F10" i="98"/>
  <c r="F9" i="98"/>
  <c r="F8" i="98"/>
  <c r="F12" i="103"/>
  <c r="F11" i="103"/>
  <c r="F11" i="107"/>
  <c r="F10" i="107"/>
  <c r="F9" i="103"/>
  <c r="F8" i="103"/>
  <c r="F8" i="231"/>
  <c r="F8" i="111"/>
  <c r="F8" i="107"/>
  <c r="F12" i="107"/>
  <c r="F9" i="107"/>
  <c r="F11" i="111"/>
  <c r="F10" i="111"/>
  <c r="F9" i="111"/>
  <c r="F11" i="231"/>
  <c r="F10" i="231"/>
  <c r="F9" i="231"/>
  <c r="X27" i="236"/>
  <c r="G24" i="236"/>
  <c r="E39" i="8"/>
  <c r="W28" i="8"/>
  <c r="H28" i="8" s="1"/>
  <c r="G22" i="8"/>
  <c r="E37" i="50"/>
  <c r="Y28" i="50"/>
  <c r="V24" i="50"/>
  <c r="G22" i="50"/>
  <c r="E39" i="116"/>
  <c r="H35" i="116"/>
  <c r="H34" i="116"/>
  <c r="H33" i="116"/>
  <c r="H31" i="116"/>
  <c r="H30" i="116"/>
  <c r="G22" i="116"/>
  <c r="E37" i="25"/>
  <c r="W24" i="25"/>
  <c r="H28" i="25" s="1"/>
  <c r="G22" i="25"/>
  <c r="G27" i="9"/>
  <c r="G24" i="9"/>
  <c r="K13" i="9"/>
  <c r="K12" i="9"/>
  <c r="E50" i="9"/>
  <c r="E39" i="183"/>
  <c r="H31" i="183"/>
  <c r="H30" i="183"/>
  <c r="H29" i="183"/>
  <c r="G23" i="183"/>
  <c r="E40" i="23"/>
  <c r="G25" i="23"/>
  <c r="G22" i="23"/>
  <c r="E39" i="3"/>
  <c r="W26" i="3"/>
  <c r="G23" i="3"/>
  <c r="G30" i="42"/>
  <c r="E53" i="45"/>
  <c r="E44" i="144"/>
  <c r="D46" i="58"/>
  <c r="E38" i="51"/>
  <c r="E43" i="140"/>
  <c r="D45" i="141"/>
  <c r="D38" i="191"/>
  <c r="D36" i="5"/>
  <c r="E38" i="190"/>
  <c r="E37" i="16"/>
  <c r="E33" i="55"/>
  <c r="E42" i="137"/>
  <c r="E37" i="180"/>
  <c r="E36" i="15"/>
  <c r="D35" i="194"/>
  <c r="E39" i="42"/>
  <c r="E43" i="133"/>
  <c r="E40" i="134"/>
  <c r="D39" i="26"/>
  <c r="E48" i="168"/>
  <c r="E47" i="169"/>
  <c r="E46" i="170"/>
  <c r="D50" i="171"/>
  <c r="E38" i="40"/>
  <c r="E40" i="129"/>
  <c r="E40" i="130"/>
  <c r="E37" i="44"/>
  <c r="E40" i="125"/>
  <c r="E38" i="126"/>
  <c r="D38" i="195"/>
  <c r="E37" i="59"/>
  <c r="E36" i="60"/>
  <c r="E38" i="20"/>
  <c r="E28" i="61"/>
  <c r="E32" i="11"/>
  <c r="E55" i="235"/>
  <c r="E54" i="187"/>
  <c r="E40" i="147"/>
  <c r="E38" i="47"/>
  <c r="E35" i="46"/>
  <c r="E38" i="43"/>
  <c r="E41" i="88"/>
  <c r="E39" i="89"/>
  <c r="E38" i="13"/>
  <c r="E37" i="64"/>
  <c r="E40" i="19"/>
  <c r="E38" i="70"/>
  <c r="E45" i="84"/>
  <c r="E38" i="62"/>
  <c r="E39" i="18"/>
  <c r="E40" i="28"/>
  <c r="E42" i="39"/>
  <c r="E45" i="82"/>
  <c r="E44" i="79"/>
  <c r="E44" i="75"/>
  <c r="E40" i="227"/>
  <c r="E37" i="228"/>
  <c r="E37" i="229"/>
  <c r="E37" i="226"/>
  <c r="E38" i="49"/>
  <c r="W27" i="49"/>
  <c r="F27" i="49" s="1"/>
  <c r="W23" i="49"/>
  <c r="F23" i="49" s="1"/>
  <c r="H29" i="193"/>
  <c r="W25" i="14"/>
  <c r="H25" i="14" s="1"/>
  <c r="G26" i="14"/>
  <c r="G23" i="14"/>
  <c r="K11" i="14"/>
  <c r="H25" i="193"/>
  <c r="G23" i="193"/>
  <c r="E33" i="22"/>
  <c r="G25" i="22"/>
  <c r="W25" i="22"/>
  <c r="H24" i="22" s="1"/>
  <c r="G22" i="22"/>
  <c r="H30" i="10"/>
  <c r="H29" i="10"/>
  <c r="H28" i="10"/>
  <c r="W28" i="10"/>
  <c r="G22" i="10"/>
  <c r="W43" i="200"/>
  <c r="F43" i="200" s="1"/>
  <c r="H29" i="25" l="1"/>
  <c r="H24" i="25"/>
  <c r="H29" i="14"/>
  <c r="E30" i="22"/>
  <c r="E29" i="22"/>
  <c r="W39" i="200" l="1"/>
  <c r="F39" i="200" s="1"/>
  <c r="W35" i="200"/>
  <c r="F35" i="200" s="1"/>
  <c r="G21" i="200"/>
  <c r="G22" i="192"/>
  <c r="G23" i="21"/>
  <c r="W27" i="48"/>
  <c r="W26" i="48"/>
  <c r="G22" i="48"/>
  <c r="J11" i="48"/>
  <c r="G26" i="45" l="1"/>
  <c r="F88" i="254"/>
  <c r="F87" i="254"/>
  <c r="M36" i="254" l="1"/>
  <c r="K41" i="151"/>
  <c r="H25" i="151"/>
  <c r="E8" i="154"/>
  <c r="F11" i="77"/>
  <c r="E12" i="76"/>
  <c r="L29" i="154"/>
  <c r="L30" i="154"/>
  <c r="L31" i="154"/>
  <c r="L20" i="154"/>
  <c r="L21" i="154"/>
  <c r="L22" i="154"/>
  <c r="L23" i="154"/>
  <c r="E8" i="152"/>
  <c r="F15" i="77"/>
  <c r="F10" i="77"/>
  <c r="F13" i="77"/>
  <c r="F14" i="77"/>
  <c r="F12" i="77"/>
  <c r="F9" i="77"/>
  <c r="F8" i="244"/>
  <c r="F8" i="77"/>
  <c r="F12" i="249"/>
  <c r="F11" i="249"/>
  <c r="F10" i="249"/>
  <c r="F9" i="249"/>
  <c r="F8" i="249"/>
  <c r="F13" i="115"/>
  <c r="F12" i="115"/>
  <c r="F11" i="115"/>
  <c r="F9" i="123"/>
  <c r="F9" i="115"/>
  <c r="F10" i="115"/>
  <c r="F8" i="115"/>
  <c r="F8" i="121"/>
  <c r="F10" i="121"/>
  <c r="F11" i="121"/>
  <c r="F12" i="121"/>
  <c r="F9" i="121"/>
  <c r="F10" i="123"/>
  <c r="F8" i="123"/>
  <c r="F9" i="124"/>
  <c r="F10" i="124"/>
  <c r="F8" i="124"/>
  <c r="G28" i="126"/>
  <c r="W27" i="40"/>
  <c r="W26" i="40"/>
  <c r="G30" i="129"/>
  <c r="W14" i="129"/>
  <c r="G30" i="125"/>
  <c r="G15" i="125"/>
  <c r="G23" i="44"/>
  <c r="F10" i="128"/>
  <c r="F11" i="128"/>
  <c r="F9" i="128"/>
  <c r="F12" i="128"/>
  <c r="F12" i="132"/>
  <c r="F8" i="128"/>
  <c r="G28" i="130"/>
  <c r="F11" i="132"/>
  <c r="F10" i="132"/>
  <c r="F9" i="132"/>
  <c r="F8" i="132"/>
  <c r="G17" i="180"/>
  <c r="G23" i="40"/>
  <c r="F8" i="146" l="1"/>
  <c r="G21" i="58"/>
  <c r="G28" i="51"/>
  <c r="F12" i="143"/>
  <c r="G33" i="140"/>
  <c r="I27" i="141"/>
  <c r="K30" i="176"/>
  <c r="H25" i="176"/>
  <c r="G22" i="191"/>
  <c r="G22" i="5"/>
  <c r="Z25" i="137" l="1"/>
  <c r="Z26" i="137" s="1"/>
  <c r="W16" i="133" l="1"/>
  <c r="F12" i="136"/>
  <c r="G29" i="26"/>
  <c r="G27" i="26"/>
  <c r="G28" i="26"/>
  <c r="J11" i="167"/>
  <c r="C11" i="167"/>
  <c r="J16" i="167"/>
  <c r="C16" i="167"/>
  <c r="F11" i="136" l="1"/>
  <c r="F10" i="136"/>
  <c r="F9" i="136"/>
  <c r="F8" i="136"/>
  <c r="F10" i="139"/>
  <c r="F9" i="139"/>
  <c r="F8" i="139"/>
  <c r="F11" i="143"/>
  <c r="F10" i="143"/>
  <c r="F9" i="143"/>
  <c r="F8" i="143"/>
  <c r="F9" i="146"/>
  <c r="F10" i="146"/>
  <c r="F11" i="146"/>
  <c r="F8" i="181"/>
  <c r="F9" i="181"/>
  <c r="F10" i="181"/>
  <c r="I11" i="152"/>
  <c r="E16" i="76"/>
  <c r="Y35" i="151"/>
  <c r="E15" i="76" l="1"/>
  <c r="E14" i="76"/>
  <c r="E13" i="76"/>
  <c r="E11" i="76"/>
  <c r="E10" i="76"/>
  <c r="E9" i="76"/>
  <c r="E8" i="76"/>
  <c r="E36" i="75"/>
  <c r="W16" i="75"/>
  <c r="G25" i="47" l="1"/>
  <c r="G24" i="47"/>
  <c r="C18" i="69"/>
  <c r="C17" i="69"/>
  <c r="F12" i="91"/>
  <c r="G24" i="235"/>
  <c r="W27" i="235"/>
  <c r="I43" i="187"/>
  <c r="K27" i="235"/>
  <c r="K26" i="187"/>
  <c r="C10" i="69"/>
  <c r="W26" i="147" l="1"/>
  <c r="W23" i="147"/>
  <c r="F8" i="148"/>
  <c r="F9" i="148"/>
  <c r="F10" i="148"/>
  <c r="F11" i="244" l="1"/>
  <c r="F9" i="244"/>
  <c r="I24" i="59"/>
  <c r="F10" i="244"/>
  <c r="I25" i="246"/>
  <c r="F11" i="91" l="1"/>
  <c r="F10" i="91"/>
  <c r="F9" i="91"/>
  <c r="F8" i="91"/>
  <c r="I27" i="13"/>
  <c r="G24" i="13"/>
  <c r="W21" i="13"/>
  <c r="G21" i="13" s="1"/>
  <c r="I25" i="64"/>
  <c r="I29" i="64" s="1"/>
  <c r="I30" i="64" l="1"/>
  <c r="W21" i="19"/>
  <c r="C13" i="69"/>
  <c r="I29" i="84"/>
  <c r="W32" i="84"/>
  <c r="I22" i="84"/>
  <c r="F8" i="85"/>
  <c r="F9" i="85"/>
  <c r="F10" i="85"/>
  <c r="F11" i="85"/>
  <c r="W22" i="62"/>
  <c r="G22" i="62" s="1"/>
  <c r="I12" i="28"/>
  <c r="W22" i="39" l="1"/>
  <c r="W21" i="39"/>
  <c r="W26" i="79"/>
  <c r="L23" i="69"/>
  <c r="I24" i="69"/>
  <c r="C24" i="69"/>
  <c r="L22" i="69"/>
  <c r="I23" i="69"/>
  <c r="F23" i="69"/>
  <c r="L21" i="69"/>
  <c r="I22" i="69"/>
  <c r="F22" i="69"/>
  <c r="L20" i="69"/>
  <c r="F21" i="69"/>
  <c r="L19" i="69"/>
  <c r="I20" i="69"/>
  <c r="F20" i="69"/>
  <c r="L18" i="69"/>
  <c r="I19" i="69"/>
  <c r="F19" i="69"/>
  <c r="L17" i="69"/>
  <c r="I18" i="69"/>
  <c r="F18" i="69"/>
  <c r="L16" i="69"/>
  <c r="I17" i="69"/>
  <c r="F17" i="69"/>
  <c r="L15" i="69"/>
  <c r="I16" i="69"/>
  <c r="F16" i="69"/>
  <c r="L14" i="69"/>
  <c r="I15" i="69"/>
  <c r="F15" i="69"/>
  <c r="L13" i="69"/>
  <c r="I14" i="69"/>
  <c r="F14" i="69"/>
  <c r="L12" i="69"/>
  <c r="I13" i="69"/>
  <c r="F13" i="69"/>
  <c r="L11" i="69"/>
  <c r="I12" i="69"/>
  <c r="F12" i="69"/>
  <c r="L10" i="69"/>
  <c r="I11" i="69"/>
  <c r="F11" i="69"/>
  <c r="I10" i="69"/>
  <c r="F10" i="69"/>
  <c r="L9" i="69"/>
  <c r="I9" i="69"/>
  <c r="F9" i="69"/>
  <c r="L8" i="69"/>
  <c r="I8" i="69"/>
  <c r="F8" i="69"/>
  <c r="C23" i="69"/>
  <c r="C22" i="69"/>
  <c r="C21" i="69"/>
  <c r="C20" i="69"/>
  <c r="C19" i="69"/>
  <c r="C16" i="69"/>
  <c r="C15" i="69"/>
  <c r="C14" i="69"/>
  <c r="C12" i="69"/>
  <c r="C11" i="69"/>
  <c r="C9" i="69"/>
  <c r="C8" i="69"/>
  <c r="F11" i="78"/>
  <c r="F10" i="78"/>
  <c r="F9" i="78"/>
  <c r="F8" i="78"/>
  <c r="F12" i="78"/>
  <c r="J17" i="196" l="1"/>
  <c r="K25" i="219"/>
  <c r="K32" i="220" l="1"/>
  <c r="K30" i="220"/>
  <c r="K25" i="220"/>
  <c r="W20" i="220"/>
  <c r="W22" i="220" s="1"/>
  <c r="W24" i="220" s="1"/>
  <c r="W25" i="220" s="1"/>
  <c r="K32" i="221"/>
  <c r="K30" i="221"/>
  <c r="K25" i="221"/>
  <c r="K32" i="197" l="1"/>
  <c r="K30" i="197"/>
  <c r="K25" i="197"/>
  <c r="K25" i="255"/>
  <c r="W36" i="197"/>
  <c r="F36" i="197" s="1"/>
  <c r="T35" i="239" l="1"/>
  <c r="T26" i="201"/>
  <c r="F30" i="201" s="1"/>
  <c r="T21" i="201"/>
  <c r="T20" i="201"/>
  <c r="T24" i="201" s="1"/>
  <c r="F8" i="198"/>
  <c r="G21" i="35"/>
  <c r="F19" i="35"/>
  <c r="I19" i="35" s="1"/>
  <c r="E17" i="35"/>
  <c r="I17" i="35" s="1"/>
  <c r="I15" i="35"/>
  <c r="T22" i="201" l="1"/>
  <c r="F26" i="201" s="1"/>
  <c r="I21" i="35"/>
  <c r="D19" i="198" l="1"/>
  <c r="D18" i="198"/>
  <c r="D17" i="198"/>
  <c r="D15" i="198"/>
  <c r="D14" i="198"/>
  <c r="F10" i="198"/>
  <c r="F9" i="198"/>
  <c r="F23" i="198"/>
  <c r="F22" i="198"/>
  <c r="F21" i="198"/>
  <c r="S15" i="57" l="1"/>
  <c r="S16" i="57" s="1"/>
  <c r="S13" i="57"/>
  <c r="S12" i="57"/>
  <c r="S14" i="57" l="1"/>
  <c r="S17" i="57" s="1"/>
  <c r="S18" i="57" s="1"/>
  <c r="K20" i="150"/>
  <c r="K18" i="150"/>
  <c r="K16" i="150"/>
  <c r="K14" i="150"/>
  <c r="N15" i="35"/>
  <c r="H18" i="57" l="1"/>
  <c r="K32" i="171"/>
  <c r="G25" i="171"/>
  <c r="I23" i="15" l="1"/>
  <c r="I27" i="15" s="1"/>
  <c r="I28" i="15" l="1"/>
  <c r="I24" i="5" l="1"/>
  <c r="I28" i="5" s="1"/>
  <c r="W24" i="245" l="1"/>
  <c r="H14" i="253"/>
  <c r="H15" i="253" s="1"/>
  <c r="H17" i="253" s="1"/>
  <c r="I24" i="195" l="1"/>
  <c r="I23" i="60"/>
  <c r="I27" i="20"/>
  <c r="I27" i="19" l="1"/>
  <c r="L24" i="62"/>
  <c r="H30" i="227"/>
  <c r="K12" i="239" l="1"/>
  <c r="J40" i="239" s="1"/>
  <c r="V38" i="255"/>
  <c r="V33" i="255"/>
  <c r="F31" i="255" s="1"/>
  <c r="V15" i="255"/>
  <c r="V16" i="255" s="1"/>
  <c r="V31" i="255" l="1"/>
  <c r="V17" i="255"/>
  <c r="V30" i="255" l="1"/>
  <c r="V39" i="255" s="1"/>
  <c r="V40" i="255" s="1"/>
  <c r="V41" i="255" s="1"/>
  <c r="E35" i="255" s="1"/>
  <c r="V18" i="255"/>
  <c r="V21" i="255" l="1"/>
  <c r="E34" i="255" s="1"/>
  <c r="AJ141" i="254"/>
  <c r="AJ140" i="254"/>
  <c r="AJ139" i="254"/>
  <c r="AJ138" i="254"/>
  <c r="AJ137" i="254"/>
  <c r="AJ136" i="254"/>
  <c r="AJ135" i="254"/>
  <c r="AJ134" i="254"/>
  <c r="AJ133" i="254"/>
  <c r="AJ132" i="254"/>
  <c r="AJ131" i="254"/>
  <c r="M93" i="254"/>
  <c r="L93" i="254"/>
  <c r="K93" i="254"/>
  <c r="J93" i="254"/>
  <c r="I93" i="254"/>
  <c r="H93" i="254"/>
  <c r="L92" i="254"/>
  <c r="M80" i="254"/>
  <c r="L80" i="254"/>
  <c r="H80" i="254"/>
  <c r="K79" i="254"/>
  <c r="H79" i="254"/>
  <c r="M78" i="254"/>
  <c r="J78" i="254"/>
  <c r="H78" i="254"/>
  <c r="J77" i="254"/>
  <c r="I77" i="254"/>
  <c r="H77" i="254"/>
  <c r="M76" i="254"/>
  <c r="H76" i="254"/>
  <c r="J67" i="254"/>
  <c r="I67" i="254"/>
  <c r="H67" i="254"/>
  <c r="G67" i="254"/>
  <c r="F67" i="254"/>
  <c r="E67" i="254"/>
  <c r="M51" i="254"/>
  <c r="W33" i="254"/>
  <c r="W31" i="254"/>
  <c r="G49" i="254" s="1"/>
  <c r="I49" i="254" s="1"/>
  <c r="W30" i="254"/>
  <c r="G48" i="254" s="1"/>
  <c r="I48" i="254" s="1"/>
  <c r="W29" i="254"/>
  <c r="G47" i="254" s="1"/>
  <c r="I47" i="254" s="1"/>
  <c r="W28" i="254"/>
  <c r="G46" i="254" s="1"/>
  <c r="I46" i="254" s="1"/>
  <c r="W27" i="254"/>
  <c r="G45" i="254" s="1"/>
  <c r="I45" i="254" s="1"/>
  <c r="W26" i="254"/>
  <c r="G44" i="254" s="1"/>
  <c r="I44" i="254" s="1"/>
  <c r="W25" i="254"/>
  <c r="G43" i="254" s="1"/>
  <c r="I43" i="254" s="1"/>
  <c r="W24" i="254"/>
  <c r="G42" i="254" s="1"/>
  <c r="I42" i="254" s="1"/>
  <c r="W17" i="254"/>
  <c r="W22" i="254" s="1"/>
  <c r="W23" i="254" s="1"/>
  <c r="G41" i="254" s="1"/>
  <c r="I41" i="254" s="1"/>
  <c r="W20" i="254" l="1"/>
  <c r="W21" i="254" s="1"/>
  <c r="G40" i="254" s="1"/>
  <c r="I40" i="254" s="1"/>
  <c r="L65" i="254" s="1"/>
  <c r="X112" i="254" s="1"/>
  <c r="I105" i="254" s="1"/>
  <c r="W18" i="254"/>
  <c r="W19" i="254" s="1"/>
  <c r="G39" i="254" s="1"/>
  <c r="I39" i="254" s="1"/>
  <c r="K65" i="254" s="1"/>
  <c r="M66" i="254"/>
  <c r="M65" i="254"/>
  <c r="M64" i="254"/>
  <c r="M63" i="254"/>
  <c r="M62" i="254"/>
  <c r="M61" i="254"/>
  <c r="M60" i="254"/>
  <c r="M59" i="254"/>
  <c r="M58" i="254"/>
  <c r="M57" i="254"/>
  <c r="M56" i="254"/>
  <c r="M55" i="254"/>
  <c r="O66" i="254"/>
  <c r="AA113" i="254" s="1"/>
  <c r="L106" i="254" s="1"/>
  <c r="O65" i="254"/>
  <c r="AA112" i="254" s="1"/>
  <c r="L105" i="254" s="1"/>
  <c r="O64" i="254"/>
  <c r="AA111" i="254" s="1"/>
  <c r="L104" i="254" s="1"/>
  <c r="O63" i="254"/>
  <c r="AA110" i="254" s="1"/>
  <c r="L103" i="254" s="1"/>
  <c r="O62" i="254"/>
  <c r="AA109" i="254" s="1"/>
  <c r="L102" i="254" s="1"/>
  <c r="O61" i="254"/>
  <c r="AA108" i="254" s="1"/>
  <c r="L101" i="254" s="1"/>
  <c r="O60" i="254"/>
  <c r="AA107" i="254" s="1"/>
  <c r="L100" i="254" s="1"/>
  <c r="O59" i="254"/>
  <c r="AA106" i="254" s="1"/>
  <c r="L99" i="254" s="1"/>
  <c r="O58" i="254"/>
  <c r="AA105" i="254" s="1"/>
  <c r="L98" i="254" s="1"/>
  <c r="O57" i="254"/>
  <c r="AA104" i="254" s="1"/>
  <c r="L97" i="254" s="1"/>
  <c r="O56" i="254"/>
  <c r="AA103" i="254" s="1"/>
  <c r="L96" i="254" s="1"/>
  <c r="O55" i="254"/>
  <c r="N66" i="254"/>
  <c r="Z113" i="254" s="1"/>
  <c r="K106" i="254" s="1"/>
  <c r="N65" i="254"/>
  <c r="Z112" i="254" s="1"/>
  <c r="K105" i="254" s="1"/>
  <c r="N64" i="254"/>
  <c r="Z111" i="254" s="1"/>
  <c r="K104" i="254" s="1"/>
  <c r="N63" i="254"/>
  <c r="Z110" i="254" s="1"/>
  <c r="K103" i="254" s="1"/>
  <c r="N62" i="254"/>
  <c r="Z109" i="254" s="1"/>
  <c r="K102" i="254" s="1"/>
  <c r="N61" i="254"/>
  <c r="Z108" i="254" s="1"/>
  <c r="K101" i="254" s="1"/>
  <c r="N60" i="254"/>
  <c r="Z107" i="254" s="1"/>
  <c r="K100" i="254" s="1"/>
  <c r="N59" i="254"/>
  <c r="Z106" i="254" s="1"/>
  <c r="K99" i="254" s="1"/>
  <c r="N58" i="254"/>
  <c r="Z105" i="254" s="1"/>
  <c r="K98" i="254" s="1"/>
  <c r="N57" i="254"/>
  <c r="Z104" i="254" s="1"/>
  <c r="K97" i="254" s="1"/>
  <c r="N56" i="254"/>
  <c r="Z103" i="254" s="1"/>
  <c r="K96" i="254" s="1"/>
  <c r="N55" i="254"/>
  <c r="P66" i="254"/>
  <c r="P65" i="254"/>
  <c r="P64" i="254"/>
  <c r="P63" i="254"/>
  <c r="P62" i="254"/>
  <c r="P61" i="254"/>
  <c r="P60" i="254"/>
  <c r="P59" i="254"/>
  <c r="P58" i="254"/>
  <c r="P57" i="254"/>
  <c r="P56" i="254"/>
  <c r="P55" i="254"/>
  <c r="L58" i="254" l="1"/>
  <c r="X105" i="254" s="1"/>
  <c r="L60" i="254"/>
  <c r="X107" i="254" s="1"/>
  <c r="K59" i="254"/>
  <c r="L62" i="254"/>
  <c r="X109" i="254" s="1"/>
  <c r="K60" i="254"/>
  <c r="L64" i="254"/>
  <c r="X111" i="254" s="1"/>
  <c r="K61" i="254"/>
  <c r="L66" i="254"/>
  <c r="X113" i="254" s="1"/>
  <c r="K62" i="254"/>
  <c r="K55" i="254"/>
  <c r="K63" i="254"/>
  <c r="K58" i="254"/>
  <c r="K56" i="254"/>
  <c r="K64" i="254"/>
  <c r="L56" i="254"/>
  <c r="X103" i="254" s="1"/>
  <c r="K57" i="254"/>
  <c r="K66" i="254"/>
  <c r="L55" i="254"/>
  <c r="X102" i="254" s="1"/>
  <c r="I95" i="254" s="1"/>
  <c r="L57" i="254"/>
  <c r="X104" i="254" s="1"/>
  <c r="L59" i="254"/>
  <c r="X106" i="254" s="1"/>
  <c r="L61" i="254"/>
  <c r="X108" i="254" s="1"/>
  <c r="L63" i="254"/>
  <c r="X110" i="254" s="1"/>
  <c r="P67" i="254"/>
  <c r="Z102" i="254"/>
  <c r="N67" i="254"/>
  <c r="AA102" i="254"/>
  <c r="O67" i="254"/>
  <c r="M67" i="254"/>
  <c r="Y112" i="254"/>
  <c r="K107" i="254" l="1"/>
  <c r="K95" i="254"/>
  <c r="Y110" i="254"/>
  <c r="J103" i="254" s="1"/>
  <c r="I103" i="254"/>
  <c r="Y106" i="254"/>
  <c r="J99" i="254" s="1"/>
  <c r="I99" i="254"/>
  <c r="Y104" i="254"/>
  <c r="J97" i="254" s="1"/>
  <c r="I97" i="254"/>
  <c r="Y111" i="254"/>
  <c r="J104" i="254" s="1"/>
  <c r="I104" i="254"/>
  <c r="W112" i="254"/>
  <c r="J105" i="254"/>
  <c r="Y107" i="254"/>
  <c r="J100" i="254" s="1"/>
  <c r="I100" i="254"/>
  <c r="Y108" i="254"/>
  <c r="J101" i="254" s="1"/>
  <c r="I101" i="254"/>
  <c r="Y113" i="254"/>
  <c r="J106" i="254" s="1"/>
  <c r="I106" i="254"/>
  <c r="Y109" i="254"/>
  <c r="J102" i="254" s="1"/>
  <c r="I102" i="254"/>
  <c r="Y103" i="254"/>
  <c r="J96" i="254" s="1"/>
  <c r="I96" i="254"/>
  <c r="L107" i="254"/>
  <c r="L95" i="254"/>
  <c r="Y105" i="254"/>
  <c r="J98" i="254" s="1"/>
  <c r="I98" i="254"/>
  <c r="W108" i="254"/>
  <c r="K67" i="254"/>
  <c r="W110" i="254"/>
  <c r="Y102" i="254"/>
  <c r="L67" i="254"/>
  <c r="I107" i="254"/>
  <c r="W109" i="254" l="1"/>
  <c r="AB109" i="254" s="1"/>
  <c r="M102" i="254" s="1"/>
  <c r="W105" i="254"/>
  <c r="W107" i="254"/>
  <c r="H100" i="254" s="1"/>
  <c r="W104" i="254"/>
  <c r="AB104" i="254" s="1"/>
  <c r="M97" i="254" s="1"/>
  <c r="AB105" i="254"/>
  <c r="M98" i="254" s="1"/>
  <c r="H98" i="254"/>
  <c r="AB112" i="254"/>
  <c r="M105" i="254" s="1"/>
  <c r="H105" i="254"/>
  <c r="AB108" i="254"/>
  <c r="M101" i="254" s="1"/>
  <c r="H101" i="254"/>
  <c r="W111" i="254"/>
  <c r="W113" i="254"/>
  <c r="AB110" i="254"/>
  <c r="M103" i="254" s="1"/>
  <c r="H103" i="254"/>
  <c r="AB107" i="254"/>
  <c r="M100" i="254" s="1"/>
  <c r="W106" i="254"/>
  <c r="W103" i="254"/>
  <c r="J107" i="254"/>
  <c r="J95" i="254"/>
  <c r="W102" i="254"/>
  <c r="K17" i="253"/>
  <c r="W24" i="168"/>
  <c r="W27" i="252"/>
  <c r="Y27" i="252"/>
  <c r="H27" i="252" s="1"/>
  <c r="K10" i="252"/>
  <c r="Y22" i="251"/>
  <c r="G22" i="251"/>
  <c r="W21" i="251"/>
  <c r="G21" i="251" s="1"/>
  <c r="Y15" i="251"/>
  <c r="G15" i="251"/>
  <c r="W14" i="251"/>
  <c r="G14" i="251" s="1"/>
  <c r="W30" i="48"/>
  <c r="W29" i="48"/>
  <c r="G30" i="48"/>
  <c r="W36" i="48" s="1"/>
  <c r="G36" i="48" s="1"/>
  <c r="G26" i="48"/>
  <c r="Y25" i="55"/>
  <c r="G25" i="55" s="1"/>
  <c r="Y21" i="55"/>
  <c r="H31" i="247"/>
  <c r="H32" i="247" s="1"/>
  <c r="W28" i="247"/>
  <c r="G28" i="247" s="1"/>
  <c r="W21" i="247"/>
  <c r="W17" i="247"/>
  <c r="G21" i="247" s="1"/>
  <c r="W16" i="247"/>
  <c r="W19" i="247" s="1"/>
  <c r="W20" i="247" s="1"/>
  <c r="G22" i="247" s="1"/>
  <c r="W24" i="246"/>
  <c r="W22" i="246"/>
  <c r="G22" i="246" s="1"/>
  <c r="K11" i="246"/>
  <c r="G25" i="246" s="1"/>
  <c r="G31" i="245"/>
  <c r="I23" i="245"/>
  <c r="G23" i="245"/>
  <c r="W22" i="245"/>
  <c r="G22" i="245" s="1"/>
  <c r="K14" i="245"/>
  <c r="K15" i="245" s="1"/>
  <c r="G25" i="168"/>
  <c r="W21" i="168"/>
  <c r="W20" i="168"/>
  <c r="G21" i="168" s="1"/>
  <c r="G36" i="168" s="1"/>
  <c r="Y19" i="169"/>
  <c r="G25" i="169" s="1"/>
  <c r="K11" i="147"/>
  <c r="T18" i="234"/>
  <c r="T19" i="234" s="1"/>
  <c r="G30" i="234" s="1"/>
  <c r="T12" i="234"/>
  <c r="T13" i="234" s="1"/>
  <c r="T13" i="239"/>
  <c r="T34" i="239"/>
  <c r="G44" i="239" s="1"/>
  <c r="D35" i="239"/>
  <c r="K10" i="234"/>
  <c r="K39" i="234" s="1"/>
  <c r="T25" i="201"/>
  <c r="F27" i="201" s="1"/>
  <c r="K14" i="201"/>
  <c r="J34" i="201" s="1"/>
  <c r="T15" i="234"/>
  <c r="T16" i="234" s="1"/>
  <c r="G29" i="234" s="1"/>
  <c r="I42" i="238"/>
  <c r="I56" i="238"/>
  <c r="K47" i="238"/>
  <c r="K49" i="238" s="1"/>
  <c r="K48" i="238"/>
  <c r="K50" i="238" s="1"/>
  <c r="I57" i="238"/>
  <c r="I55" i="238"/>
  <c r="I54" i="238"/>
  <c r="J46" i="196"/>
  <c r="W20" i="196"/>
  <c r="J45" i="196" s="1"/>
  <c r="J44" i="196"/>
  <c r="J43" i="196"/>
  <c r="J41" i="196"/>
  <c r="W21" i="196"/>
  <c r="W22" i="196" s="1"/>
  <c r="W25" i="196" s="1"/>
  <c r="W26" i="196" s="1"/>
  <c r="J40" i="196"/>
  <c r="X28" i="236"/>
  <c r="W11" i="153"/>
  <c r="W20" i="153" s="1"/>
  <c r="W21" i="153" s="1"/>
  <c r="H29" i="153" s="1"/>
  <c r="W12" i="151"/>
  <c r="W22" i="151" s="1"/>
  <c r="W23" i="151" s="1"/>
  <c r="H29" i="151" s="1"/>
  <c r="W13" i="235"/>
  <c r="W18" i="235" s="1"/>
  <c r="G28" i="235" s="1"/>
  <c r="W12" i="187"/>
  <c r="W17" i="187" s="1"/>
  <c r="G27" i="187" s="1"/>
  <c r="X37" i="236"/>
  <c r="X38" i="236" s="1"/>
  <c r="X39" i="236" s="1"/>
  <c r="G28" i="236" s="1"/>
  <c r="X31" i="236"/>
  <c r="X32" i="236" s="1"/>
  <c r="X33" i="236" s="1"/>
  <c r="I11" i="236"/>
  <c r="G34" i="236" s="1"/>
  <c r="G40" i="236" s="1"/>
  <c r="K11" i="151"/>
  <c r="W15" i="187"/>
  <c r="W16" i="235"/>
  <c r="W17" i="235" s="1"/>
  <c r="G26" i="235" s="1"/>
  <c r="J11" i="235"/>
  <c r="J12" i="235" s="1"/>
  <c r="J43" i="235" s="1"/>
  <c r="W23" i="235"/>
  <c r="H44" i="235" s="1"/>
  <c r="F40" i="235"/>
  <c r="F38" i="235"/>
  <c r="F36" i="235"/>
  <c r="F33" i="235"/>
  <c r="J10" i="187"/>
  <c r="F36" i="187"/>
  <c r="F40" i="187"/>
  <c r="F33" i="187"/>
  <c r="F38" i="187"/>
  <c r="K11" i="153"/>
  <c r="K13" i="153" s="1"/>
  <c r="K41" i="153" s="1"/>
  <c r="W27" i="153"/>
  <c r="H25" i="153" s="1"/>
  <c r="H44" i="153" s="1"/>
  <c r="K44" i="153" s="1"/>
  <c r="L20" i="152"/>
  <c r="W26" i="151"/>
  <c r="H44" i="151" s="1"/>
  <c r="T33" i="234"/>
  <c r="T32" i="234"/>
  <c r="G43" i="234" s="1"/>
  <c r="E33" i="234"/>
  <c r="Y26" i="233"/>
  <c r="H26" i="233" s="1"/>
  <c r="K11" i="233"/>
  <c r="G26" i="233" s="1"/>
  <c r="Y27" i="232"/>
  <c r="H27" i="232" s="1"/>
  <c r="G27" i="232"/>
  <c r="G26" i="232"/>
  <c r="Y20" i="232"/>
  <c r="H20" i="232" s="1"/>
  <c r="G20" i="232"/>
  <c r="G19" i="232"/>
  <c r="I29" i="62"/>
  <c r="L24" i="18"/>
  <c r="I29" i="18" s="1"/>
  <c r="I30" i="28"/>
  <c r="I31" i="28" s="1"/>
  <c r="W28" i="133"/>
  <c r="G34" i="133" s="1"/>
  <c r="H28" i="228"/>
  <c r="H30" i="228" s="1"/>
  <c r="W20" i="187"/>
  <c r="G23" i="187" s="1"/>
  <c r="G44" i="187" s="1"/>
  <c r="W23" i="43"/>
  <c r="G28" i="43" s="1"/>
  <c r="Y27" i="89"/>
  <c r="G29" i="89" s="1"/>
  <c r="W23" i="70"/>
  <c r="G28" i="70" s="1"/>
  <c r="G37" i="84"/>
  <c r="W25" i="39"/>
  <c r="G31" i="39" s="1"/>
  <c r="I19" i="51"/>
  <c r="I25" i="140"/>
  <c r="I18" i="140"/>
  <c r="I17" i="141"/>
  <c r="I18" i="141" s="1"/>
  <c r="W36" i="141"/>
  <c r="G36" i="141" s="1"/>
  <c r="I41" i="176"/>
  <c r="K41" i="176" s="1"/>
  <c r="K14" i="79"/>
  <c r="K15" i="79" s="1"/>
  <c r="H24" i="79"/>
  <c r="H28" i="229"/>
  <c r="H29" i="229" s="1"/>
  <c r="W31" i="122"/>
  <c r="I28" i="58"/>
  <c r="I32" i="58" s="1"/>
  <c r="I33" i="58"/>
  <c r="W26" i="75"/>
  <c r="G26" i="75" s="1"/>
  <c r="W29" i="147"/>
  <c r="F28" i="147" s="1"/>
  <c r="W25" i="227"/>
  <c r="E27" i="227" s="1"/>
  <c r="W23" i="226"/>
  <c r="E25" i="226" s="1"/>
  <c r="W24" i="228"/>
  <c r="E25" i="228" s="1"/>
  <c r="W23" i="229"/>
  <c r="E25" i="229" s="1"/>
  <c r="W20" i="227"/>
  <c r="W16" i="227"/>
  <c r="W18" i="227" s="1"/>
  <c r="W19" i="227" s="1"/>
  <c r="F23" i="227" s="1"/>
  <c r="W17" i="227"/>
  <c r="F22" i="227" s="1"/>
  <c r="W19" i="228"/>
  <c r="W15" i="228"/>
  <c r="W16" i="228"/>
  <c r="F20" i="228" s="1"/>
  <c r="W19" i="229"/>
  <c r="W15" i="229"/>
  <c r="W17" i="229" s="1"/>
  <c r="W18" i="229" s="1"/>
  <c r="F21" i="229" s="1"/>
  <c r="W16" i="229"/>
  <c r="F20" i="229" s="1"/>
  <c r="H28" i="226"/>
  <c r="H30" i="226" s="1"/>
  <c r="W18" i="226"/>
  <c r="W14" i="226"/>
  <c r="W16" i="226" s="1"/>
  <c r="W17" i="226" s="1"/>
  <c r="F21" i="226" s="1"/>
  <c r="W15" i="226"/>
  <c r="F20" i="226" s="1"/>
  <c r="G25" i="122"/>
  <c r="I31" i="147"/>
  <c r="H32" i="147" s="1"/>
  <c r="W12" i="147"/>
  <c r="F23" i="147"/>
  <c r="F35" i="153"/>
  <c r="F35" i="151"/>
  <c r="K11" i="176"/>
  <c r="K13" i="176" s="1"/>
  <c r="K38" i="176" s="1"/>
  <c r="I28" i="176"/>
  <c r="K32" i="176"/>
  <c r="K34" i="176" s="1"/>
  <c r="W21" i="75"/>
  <c r="W10" i="75"/>
  <c r="W18" i="75" s="1"/>
  <c r="W20" i="75" s="1"/>
  <c r="G22" i="75" s="1"/>
  <c r="L19" i="152"/>
  <c r="L21" i="152"/>
  <c r="L22" i="152"/>
  <c r="W30" i="75"/>
  <c r="G21" i="75"/>
  <c r="U25" i="63"/>
  <c r="U26" i="63" s="1"/>
  <c r="U27" i="63" s="1"/>
  <c r="K11" i="63"/>
  <c r="J41" i="45"/>
  <c r="V35" i="45"/>
  <c r="K11" i="45"/>
  <c r="J39" i="45"/>
  <c r="J37" i="45"/>
  <c r="J35" i="45"/>
  <c r="V33" i="45"/>
  <c r="J33" i="45"/>
  <c r="H30" i="45"/>
  <c r="H29" i="45"/>
  <c r="W40" i="197"/>
  <c r="W20" i="197"/>
  <c r="W22" i="197" s="1"/>
  <c r="W23" i="197" s="1"/>
  <c r="Y20" i="221"/>
  <c r="Y22" i="221" s="1"/>
  <c r="W20" i="219"/>
  <c r="X22" i="219" s="1"/>
  <c r="W38" i="219"/>
  <c r="F33" i="220"/>
  <c r="F33" i="221"/>
  <c r="F33" i="197"/>
  <c r="W39" i="220"/>
  <c r="W36" i="220"/>
  <c r="F36" i="220" s="1"/>
  <c r="Y43" i="221"/>
  <c r="Y38" i="221"/>
  <c r="Y36" i="221"/>
  <c r="F36" i="221" s="1"/>
  <c r="W32" i="219"/>
  <c r="F31" i="219" s="1"/>
  <c r="W30" i="9"/>
  <c r="H30" i="9" s="1"/>
  <c r="G26" i="3"/>
  <c r="W25" i="193"/>
  <c r="F36" i="48"/>
  <c r="I20" i="93"/>
  <c r="W21" i="95"/>
  <c r="G21" i="95" s="1"/>
  <c r="W22" i="61"/>
  <c r="G22" i="61" s="1"/>
  <c r="W28" i="144"/>
  <c r="G34" i="144" s="1"/>
  <c r="W26" i="134"/>
  <c r="G31" i="134" s="1"/>
  <c r="H34" i="41"/>
  <c r="W31" i="88"/>
  <c r="G31" i="88" s="1"/>
  <c r="W27" i="82"/>
  <c r="G33" i="82" s="1"/>
  <c r="G33" i="79"/>
  <c r="F37" i="153"/>
  <c r="F37" i="151"/>
  <c r="I29" i="195"/>
  <c r="I28" i="59"/>
  <c r="I27" i="60"/>
  <c r="I29" i="20"/>
  <c r="J21" i="61"/>
  <c r="J25" i="61" s="1"/>
  <c r="I25" i="11"/>
  <c r="I29" i="11" s="1"/>
  <c r="J23" i="47"/>
  <c r="J28" i="47" s="1"/>
  <c r="J23" i="46"/>
  <c r="J27" i="46" s="1"/>
  <c r="I20" i="43"/>
  <c r="I16" i="88"/>
  <c r="I28" i="13"/>
  <c r="I20" i="70"/>
  <c r="I28" i="19"/>
  <c r="W15" i="82"/>
  <c r="G15" i="82" s="1"/>
  <c r="I27" i="170"/>
  <c r="Z31" i="169"/>
  <c r="I23" i="144"/>
  <c r="I21" i="89"/>
  <c r="I22" i="55"/>
  <c r="I18" i="180"/>
  <c r="I21" i="42"/>
  <c r="I17" i="133"/>
  <c r="I25" i="133"/>
  <c r="I22" i="134"/>
  <c r="I20" i="130"/>
  <c r="I27" i="44"/>
  <c r="I15" i="125"/>
  <c r="I22" i="125"/>
  <c r="I20" i="126"/>
  <c r="I15" i="129"/>
  <c r="I27" i="40"/>
  <c r="I22" i="129"/>
  <c r="Y26" i="27"/>
  <c r="H26" i="27" s="1"/>
  <c r="Y22" i="118"/>
  <c r="H22" i="118" s="1"/>
  <c r="Y15" i="118"/>
  <c r="H15" i="118" s="1"/>
  <c r="Y31" i="119"/>
  <c r="H31" i="119" s="1"/>
  <c r="Y28" i="41"/>
  <c r="H28" i="41" s="1"/>
  <c r="W26" i="116"/>
  <c r="E26" i="116" s="1"/>
  <c r="K11" i="116"/>
  <c r="Y15" i="113"/>
  <c r="H15" i="113" s="1"/>
  <c r="Y22" i="113"/>
  <c r="H22" i="113" s="1"/>
  <c r="Y29" i="114"/>
  <c r="H29" i="114" s="1"/>
  <c r="Y26" i="32"/>
  <c r="H26" i="32" s="1"/>
  <c r="H21" i="109"/>
  <c r="W25" i="3"/>
  <c r="Y27" i="37"/>
  <c r="H27" i="37" s="1"/>
  <c r="Y22" i="104"/>
  <c r="H22" i="104" s="1"/>
  <c r="Y15" i="104"/>
  <c r="H15" i="104" s="1"/>
  <c r="W24" i="23"/>
  <c r="Y24" i="54"/>
  <c r="H24" i="54" s="1"/>
  <c r="Y15" i="100"/>
  <c r="H15" i="100" s="1"/>
  <c r="Y22" i="100"/>
  <c r="H22" i="100" s="1"/>
  <c r="Y18" i="101"/>
  <c r="H18" i="101" s="1"/>
  <c r="Y25" i="101"/>
  <c r="H25" i="101" s="1"/>
  <c r="U29" i="63"/>
  <c r="H29" i="63" s="1"/>
  <c r="Y29" i="96"/>
  <c r="H29" i="96" s="1"/>
  <c r="Y22" i="96"/>
  <c r="H22" i="96" s="1"/>
  <c r="Y28" i="97"/>
  <c r="H28" i="97" s="1"/>
  <c r="G28" i="97"/>
  <c r="I22" i="95"/>
  <c r="W19" i="43"/>
  <c r="W15" i="88"/>
  <c r="G15" i="88" s="1"/>
  <c r="H24" i="88"/>
  <c r="W23" i="88"/>
  <c r="F23" i="88" s="1"/>
  <c r="Y21" i="89"/>
  <c r="G20" i="89" s="1"/>
  <c r="I24" i="16"/>
  <c r="G25" i="16"/>
  <c r="G29" i="58"/>
  <c r="W31" i="183"/>
  <c r="W29" i="183"/>
  <c r="G26" i="183"/>
  <c r="G25" i="8"/>
  <c r="K12" i="8"/>
  <c r="K11" i="8"/>
  <c r="G25" i="25"/>
  <c r="G26" i="11"/>
  <c r="W22" i="11"/>
  <c r="G22" i="11" s="1"/>
  <c r="K11" i="11"/>
  <c r="G25" i="58"/>
  <c r="G24" i="58"/>
  <c r="G25" i="18"/>
  <c r="I28" i="23"/>
  <c r="W22" i="18"/>
  <c r="G22" i="18" s="1"/>
  <c r="K11" i="18"/>
  <c r="G25" i="195"/>
  <c r="W24" i="195"/>
  <c r="G22" i="195" s="1"/>
  <c r="K11" i="195"/>
  <c r="K11" i="25"/>
  <c r="I23" i="194"/>
  <c r="K11" i="194"/>
  <c r="G25" i="194" s="1"/>
  <c r="G24" i="194"/>
  <c r="W21" i="194"/>
  <c r="G21" i="194" s="1"/>
  <c r="K11" i="60"/>
  <c r="G25" i="60" s="1"/>
  <c r="G24" i="60"/>
  <c r="Y20" i="60"/>
  <c r="G21" i="60" s="1"/>
  <c r="G24" i="15"/>
  <c r="G24" i="26"/>
  <c r="I23" i="26"/>
  <c r="G25" i="5"/>
  <c r="G25" i="62"/>
  <c r="G25" i="10"/>
  <c r="G26" i="21"/>
  <c r="W25" i="21"/>
  <c r="W28" i="192"/>
  <c r="G25" i="190"/>
  <c r="G26" i="193"/>
  <c r="G25" i="192"/>
  <c r="G25" i="191"/>
  <c r="G24" i="20"/>
  <c r="G24" i="19"/>
  <c r="W25" i="59"/>
  <c r="G25" i="59" s="1"/>
  <c r="K11" i="59"/>
  <c r="W22" i="59"/>
  <c r="G22" i="59" s="1"/>
  <c r="K11" i="5"/>
  <c r="K11" i="193"/>
  <c r="I28" i="190"/>
  <c r="X22" i="190"/>
  <c r="G22" i="190" s="1"/>
  <c r="W21" i="20"/>
  <c r="G21" i="20" s="1"/>
  <c r="W22" i="28"/>
  <c r="G26" i="28" s="1"/>
  <c r="H22" i="39"/>
  <c r="K11" i="62"/>
  <c r="W20" i="70"/>
  <c r="J12" i="39"/>
  <c r="I24" i="82"/>
  <c r="I16" i="82"/>
  <c r="K11" i="58"/>
  <c r="F24" i="79"/>
  <c r="W23" i="79"/>
  <c r="F23" i="79" s="1"/>
  <c r="G24" i="82"/>
  <c r="W23" i="82"/>
  <c r="G23" i="82" s="1"/>
  <c r="G16" i="82"/>
  <c r="W24" i="28"/>
  <c r="G24" i="28" s="1"/>
  <c r="G29" i="84"/>
  <c r="W28" i="84"/>
  <c r="G28" i="84" s="1"/>
  <c r="G22" i="84"/>
  <c r="W21" i="84"/>
  <c r="G21" i="84" s="1"/>
  <c r="K12" i="70"/>
  <c r="W19" i="70"/>
  <c r="G21" i="19"/>
  <c r="W25" i="19"/>
  <c r="W23" i="64"/>
  <c r="G23" i="64" s="1"/>
  <c r="W26" i="64"/>
  <c r="G26" i="64" s="1"/>
  <c r="W20" i="43"/>
  <c r="K11" i="43"/>
  <c r="W21" i="47"/>
  <c r="G21" i="47" s="1"/>
  <c r="W11" i="47"/>
  <c r="W25" i="47"/>
  <c r="W20" i="46"/>
  <c r="G21" i="46" s="1"/>
  <c r="W11" i="46"/>
  <c r="G27" i="46" s="1"/>
  <c r="W23" i="46"/>
  <c r="W19" i="61"/>
  <c r="G19" i="61" s="1"/>
  <c r="Y12" i="169"/>
  <c r="G29" i="169" s="1"/>
  <c r="G36" i="169" s="1"/>
  <c r="Y17" i="169"/>
  <c r="G22" i="169" s="1"/>
  <c r="G33" i="169" s="1"/>
  <c r="G26" i="169"/>
  <c r="G24" i="169"/>
  <c r="W25" i="53"/>
  <c r="G26" i="53" s="1"/>
  <c r="K10" i="53"/>
  <c r="W24" i="53"/>
  <c r="G20" i="93"/>
  <c r="W19" i="93"/>
  <c r="G19" i="93" s="1"/>
  <c r="G22" i="95"/>
  <c r="I11" i="21"/>
  <c r="G27" i="21" s="1"/>
  <c r="K11" i="22"/>
  <c r="W27" i="97"/>
  <c r="G27" i="97" s="1"/>
  <c r="W28" i="96"/>
  <c r="G28" i="96" s="1"/>
  <c r="G21" i="96"/>
  <c r="W14" i="96"/>
  <c r="G14" i="96" s="1"/>
  <c r="G29" i="96"/>
  <c r="G22" i="96"/>
  <c r="G15" i="96"/>
  <c r="W23" i="54"/>
  <c r="G23" i="54" s="1"/>
  <c r="G24" i="54"/>
  <c r="G25" i="101"/>
  <c r="W24" i="101"/>
  <c r="G24" i="101" s="1"/>
  <c r="G18" i="101"/>
  <c r="W17" i="101"/>
  <c r="G17" i="101" s="1"/>
  <c r="G22" i="100"/>
  <c r="W21" i="100"/>
  <c r="G21" i="100" s="1"/>
  <c r="G15" i="100"/>
  <c r="W14" i="100"/>
  <c r="G14" i="100" s="1"/>
  <c r="L30" i="174"/>
  <c r="L31" i="174"/>
  <c r="L29" i="174"/>
  <c r="L32" i="174"/>
  <c r="L33" i="174"/>
  <c r="L34" i="174"/>
  <c r="I12" i="174"/>
  <c r="L21" i="174"/>
  <c r="L22" i="174"/>
  <c r="L23" i="174"/>
  <c r="L24" i="174"/>
  <c r="L25" i="174"/>
  <c r="L26" i="152"/>
  <c r="L27" i="152"/>
  <c r="L28" i="152"/>
  <c r="L27" i="154"/>
  <c r="L28" i="154"/>
  <c r="I12" i="154"/>
  <c r="L18" i="179"/>
  <c r="K11" i="41"/>
  <c r="J12" i="41" s="1"/>
  <c r="L31" i="179"/>
  <c r="L32" i="179"/>
  <c r="L33" i="179"/>
  <c r="L34" i="179"/>
  <c r="L35" i="179"/>
  <c r="W27" i="41"/>
  <c r="I12" i="179"/>
  <c r="L22" i="179"/>
  <c r="L23" i="179"/>
  <c r="L24" i="179"/>
  <c r="L25" i="179"/>
  <c r="L26" i="179"/>
  <c r="L27" i="179"/>
  <c r="W28" i="41"/>
  <c r="I11" i="3"/>
  <c r="K11" i="23"/>
  <c r="W26" i="37"/>
  <c r="W27" i="37"/>
  <c r="K11" i="37"/>
  <c r="G22" i="104"/>
  <c r="W21" i="104"/>
  <c r="G21" i="104" s="1"/>
  <c r="G15" i="104"/>
  <c r="W14" i="104"/>
  <c r="G14" i="104" s="1"/>
  <c r="G20" i="105"/>
  <c r="W19" i="105"/>
  <c r="G19" i="105" s="1"/>
  <c r="K11" i="183"/>
  <c r="K11" i="32"/>
  <c r="G26" i="32" s="1"/>
  <c r="W25" i="32"/>
  <c r="G28" i="109"/>
  <c r="G27" i="109"/>
  <c r="G21" i="109"/>
  <c r="G20" i="109"/>
  <c r="G22" i="113"/>
  <c r="W21" i="113"/>
  <c r="G21" i="113" s="1"/>
  <c r="G15" i="113"/>
  <c r="W14" i="113"/>
  <c r="G14" i="113" s="1"/>
  <c r="G29" i="114"/>
  <c r="G28" i="114"/>
  <c r="K11" i="50"/>
  <c r="X28" i="50" s="1"/>
  <c r="E28" i="50" s="1"/>
  <c r="W26" i="27"/>
  <c r="K10" i="27"/>
  <c r="W25" i="27"/>
  <c r="G31" i="119"/>
  <c r="W30" i="119"/>
  <c r="G30" i="119" s="1"/>
  <c r="G22" i="118"/>
  <c r="W21" i="118"/>
  <c r="G21" i="118" s="1"/>
  <c r="G15" i="118"/>
  <c r="W14" i="118"/>
  <c r="G14" i="118" s="1"/>
  <c r="K11" i="71"/>
  <c r="W27" i="44"/>
  <c r="K10" i="44"/>
  <c r="W26" i="44"/>
  <c r="G20" i="126"/>
  <c r="W19" i="126"/>
  <c r="G19" i="126" s="1"/>
  <c r="G22" i="125"/>
  <c r="W21" i="125"/>
  <c r="G21" i="125" s="1"/>
  <c r="W14" i="125"/>
  <c r="G14" i="125" s="1"/>
  <c r="K10" i="40"/>
  <c r="G20" i="130"/>
  <c r="W19" i="130"/>
  <c r="G19" i="130" s="1"/>
  <c r="G22" i="129"/>
  <c r="W21" i="129"/>
  <c r="G21" i="129" s="1"/>
  <c r="G15" i="129"/>
  <c r="G14" i="129"/>
  <c r="W13" i="171"/>
  <c r="G30" i="171" s="1"/>
  <c r="G38" i="171" s="1"/>
  <c r="W20" i="171"/>
  <c r="G26" i="171" s="1"/>
  <c r="W18" i="171"/>
  <c r="G23" i="171" s="1"/>
  <c r="G35" i="171" s="1"/>
  <c r="G27" i="171"/>
  <c r="G27" i="170"/>
  <c r="G33" i="170" s="1"/>
  <c r="Y18" i="170"/>
  <c r="G24" i="170" s="1"/>
  <c r="Y16" i="170"/>
  <c r="G21" i="170" s="1"/>
  <c r="G31" i="170" s="1"/>
  <c r="G29" i="170"/>
  <c r="G34" i="170" s="1"/>
  <c r="G25" i="170"/>
  <c r="G23" i="170"/>
  <c r="W23" i="26"/>
  <c r="G21" i="26" s="1"/>
  <c r="K11" i="26"/>
  <c r="Y21" i="42"/>
  <c r="K11" i="42"/>
  <c r="Y20" i="42"/>
  <c r="G22" i="134"/>
  <c r="W21" i="134"/>
  <c r="G21" i="134" s="1"/>
  <c r="G25" i="133"/>
  <c r="W24" i="133"/>
  <c r="G24" i="133" s="1"/>
  <c r="G17" i="133"/>
  <c r="G16" i="133"/>
  <c r="X17" i="180"/>
  <c r="X21" i="180"/>
  <c r="G27" i="180" s="1"/>
  <c r="K11" i="180"/>
  <c r="G18" i="180" s="1"/>
  <c r="W21" i="15"/>
  <c r="G21" i="15" s="1"/>
  <c r="K11" i="15"/>
  <c r="K11" i="55"/>
  <c r="G22" i="55" s="1"/>
  <c r="Z34" i="137"/>
  <c r="G34" i="137" s="1"/>
  <c r="W22" i="16"/>
  <c r="G22" i="16" s="1"/>
  <c r="K11" i="16"/>
  <c r="G26" i="16" s="1"/>
  <c r="G76" i="176"/>
  <c r="C181" i="176" s="1"/>
  <c r="G181" i="176" s="1"/>
  <c r="B199" i="176"/>
  <c r="C199" i="176" s="1"/>
  <c r="B203" i="176" s="1"/>
  <c r="T170" i="176" s="1"/>
  <c r="T168" i="176"/>
  <c r="C76" i="176"/>
  <c r="C125" i="176" s="1"/>
  <c r="G125" i="176" s="1"/>
  <c r="B139" i="176"/>
  <c r="C89" i="176"/>
  <c r="G89" i="176" s="1"/>
  <c r="D89" i="176"/>
  <c r="H89" i="176" s="1"/>
  <c r="B102" i="176"/>
  <c r="C102" i="176" s="1"/>
  <c r="T85" i="176" s="1"/>
  <c r="B89" i="176"/>
  <c r="K11" i="51"/>
  <c r="G19" i="51" s="1"/>
  <c r="W18" i="51"/>
  <c r="K11" i="141"/>
  <c r="G27" i="141" s="1"/>
  <c r="W26" i="141"/>
  <c r="K11" i="140"/>
  <c r="G25" i="140" s="1"/>
  <c r="Y17" i="140"/>
  <c r="Y24" i="140"/>
  <c r="G23" i="144"/>
  <c r="W22" i="144"/>
  <c r="G22" i="144" s="1"/>
  <c r="W14" i="235"/>
  <c r="G27" i="235" s="1"/>
  <c r="H102" i="254" l="1"/>
  <c r="W34" i="155"/>
  <c r="W36" i="155"/>
  <c r="G34" i="155"/>
  <c r="E37" i="122"/>
  <c r="E36" i="122"/>
  <c r="E38" i="122"/>
  <c r="E32" i="122"/>
  <c r="E31" i="122"/>
  <c r="E33" i="122"/>
  <c r="I13" i="179"/>
  <c r="J31" i="41"/>
  <c r="G26" i="37"/>
  <c r="I12" i="63"/>
  <c r="G28" i="63"/>
  <c r="G25" i="53"/>
  <c r="X29" i="236"/>
  <c r="G26" i="236" s="1"/>
  <c r="X41" i="236" s="1"/>
  <c r="X43" i="236" s="1"/>
  <c r="G27" i="236"/>
  <c r="I29" i="23"/>
  <c r="H24" i="23"/>
  <c r="H29" i="3"/>
  <c r="H25" i="3"/>
  <c r="H30" i="192"/>
  <c r="H29" i="192"/>
  <c r="H28" i="192"/>
  <c r="H25" i="21"/>
  <c r="H29" i="21"/>
  <c r="H97" i="254"/>
  <c r="AB102" i="254"/>
  <c r="H95" i="254"/>
  <c r="AB113" i="254"/>
  <c r="M106" i="254" s="1"/>
  <c r="H106" i="254"/>
  <c r="AB111" i="254"/>
  <c r="M104" i="254" s="1"/>
  <c r="H104" i="254"/>
  <c r="AB103" i="254"/>
  <c r="M96" i="254" s="1"/>
  <c r="H96" i="254"/>
  <c r="AB106" i="254"/>
  <c r="M99" i="254" s="1"/>
  <c r="H99" i="254"/>
  <c r="H42" i="151"/>
  <c r="K13" i="151"/>
  <c r="K44" i="151"/>
  <c r="I39" i="176"/>
  <c r="K39" i="176" s="1"/>
  <c r="B125" i="176"/>
  <c r="T117" i="176"/>
  <c r="B143" i="176"/>
  <c r="C143" i="176" s="1"/>
  <c r="B148" i="176" s="1"/>
  <c r="T119" i="176" s="1"/>
  <c r="W29" i="168"/>
  <c r="E30" i="168" s="1"/>
  <c r="W25" i="168"/>
  <c r="Y27" i="168" s="1"/>
  <c r="W28" i="168"/>
  <c r="E29" i="168" s="1"/>
  <c r="E34" i="75"/>
  <c r="E35" i="75"/>
  <c r="E29" i="75"/>
  <c r="E30" i="75"/>
  <c r="E31" i="75"/>
  <c r="I10" i="152"/>
  <c r="I12" i="152" s="1"/>
  <c r="H31" i="152" s="1"/>
  <c r="L31" i="152" s="1"/>
  <c r="G23" i="47"/>
  <c r="J44" i="235"/>
  <c r="W13" i="187"/>
  <c r="G26" i="187" s="1"/>
  <c r="J11" i="187"/>
  <c r="G24" i="246"/>
  <c r="I34" i="63"/>
  <c r="J34" i="63" s="1"/>
  <c r="H19" i="174" s="1"/>
  <c r="L19" i="174" s="1"/>
  <c r="W15" i="151"/>
  <c r="W16" i="151" s="1"/>
  <c r="W35" i="151" s="1"/>
  <c r="G28" i="170"/>
  <c r="G32" i="170" s="1"/>
  <c r="J39" i="201"/>
  <c r="J33" i="201"/>
  <c r="J35" i="201" s="1"/>
  <c r="J38" i="201"/>
  <c r="J40" i="201" s="1"/>
  <c r="J26" i="201"/>
  <c r="I32" i="171"/>
  <c r="G37" i="171" s="1"/>
  <c r="I28" i="195"/>
  <c r="I28" i="60"/>
  <c r="I28" i="20"/>
  <c r="W16" i="187"/>
  <c r="G25" i="187" s="1"/>
  <c r="W25" i="187" s="1"/>
  <c r="X24" i="187" s="1"/>
  <c r="G27" i="47"/>
  <c r="W15" i="235"/>
  <c r="H32" i="235" s="1"/>
  <c r="H46" i="235" s="1"/>
  <c r="J46" i="235" s="1"/>
  <c r="J27" i="47"/>
  <c r="G25" i="46"/>
  <c r="G20" i="70"/>
  <c r="I30" i="18"/>
  <c r="I31" i="18"/>
  <c r="I32" i="28"/>
  <c r="F22" i="39"/>
  <c r="H29" i="228"/>
  <c r="H29" i="226"/>
  <c r="W19" i="226"/>
  <c r="W20" i="226" s="1"/>
  <c r="F22" i="226" s="1"/>
  <c r="G19" i="70"/>
  <c r="D125" i="176"/>
  <c r="H125" i="176" s="1"/>
  <c r="Q125" i="176" s="1"/>
  <c r="T111" i="176" s="1"/>
  <c r="G24" i="140"/>
  <c r="H30" i="229"/>
  <c r="W14" i="187"/>
  <c r="H32" i="187" s="1"/>
  <c r="G46" i="187" s="1"/>
  <c r="I46" i="187" s="1"/>
  <c r="G17" i="140"/>
  <c r="G27" i="40"/>
  <c r="G25" i="50"/>
  <c r="G28" i="47"/>
  <c r="W18" i="151"/>
  <c r="W19" i="151" s="1"/>
  <c r="H28" i="151" s="1"/>
  <c r="G26" i="40"/>
  <c r="G26" i="44"/>
  <c r="G26" i="141"/>
  <c r="G19" i="43"/>
  <c r="G28" i="234"/>
  <c r="T34" i="234" s="1"/>
  <c r="I43" i="234"/>
  <c r="W31" i="197"/>
  <c r="H107" i="254"/>
  <c r="W28" i="196"/>
  <c r="H40" i="196" s="1"/>
  <c r="G18" i="51"/>
  <c r="H37" i="45"/>
  <c r="G28" i="41"/>
  <c r="H32" i="41" s="1"/>
  <c r="J32" i="41" s="1"/>
  <c r="H19" i="179" s="1"/>
  <c r="L19" i="179" s="1"/>
  <c r="G27" i="41"/>
  <c r="H33" i="41" s="1"/>
  <c r="J33" i="41" s="1"/>
  <c r="H20" i="179" s="1"/>
  <c r="L20" i="179" s="1"/>
  <c r="B81" i="176"/>
  <c r="G81" i="176" s="1"/>
  <c r="D85" i="176" s="1"/>
  <c r="D76" i="176"/>
  <c r="G25" i="32"/>
  <c r="G27" i="37"/>
  <c r="J33" i="147"/>
  <c r="T27" i="201"/>
  <c r="I44" i="187"/>
  <c r="G27" i="122"/>
  <c r="I19" i="141"/>
  <c r="K52" i="238"/>
  <c r="W12" i="153"/>
  <c r="W15" i="153" s="1"/>
  <c r="W35" i="153" s="1"/>
  <c r="G25" i="27"/>
  <c r="E26" i="234"/>
  <c r="B76" i="176"/>
  <c r="B94" i="176"/>
  <c r="C94" i="176" s="1"/>
  <c r="T81" i="176" s="1"/>
  <c r="B181" i="176"/>
  <c r="G21" i="55"/>
  <c r="G21" i="42"/>
  <c r="G28" i="169"/>
  <c r="G34" i="169" s="1"/>
  <c r="I40" i="176"/>
  <c r="K40" i="176" s="1"/>
  <c r="I11" i="154"/>
  <c r="I13" i="154" s="1"/>
  <c r="H34" i="154" s="1"/>
  <c r="L34" i="154" s="1"/>
  <c r="W30" i="197"/>
  <c r="W41" i="197" s="1"/>
  <c r="W42" i="197" s="1"/>
  <c r="W43" i="197" s="1"/>
  <c r="E40" i="197" s="1"/>
  <c r="W24" i="197"/>
  <c r="W25" i="197" s="1"/>
  <c r="E39" i="197" s="1"/>
  <c r="L36" i="179"/>
  <c r="I30" i="190"/>
  <c r="I29" i="190"/>
  <c r="I28" i="194"/>
  <c r="I27" i="194"/>
  <c r="H41" i="45"/>
  <c r="H33" i="45"/>
  <c r="W27" i="147"/>
  <c r="W28" i="147" s="1"/>
  <c r="F25" i="147" s="1"/>
  <c r="W24" i="147"/>
  <c r="W25" i="147" s="1"/>
  <c r="F24" i="147" s="1"/>
  <c r="W20" i="228"/>
  <c r="W21" i="228" s="1"/>
  <c r="F22" i="228" s="1"/>
  <c r="W17" i="228"/>
  <c r="W18" i="228" s="1"/>
  <c r="F21" i="228" s="1"/>
  <c r="H32" i="227"/>
  <c r="H31" i="227"/>
  <c r="T20" i="239"/>
  <c r="T21" i="239" s="1"/>
  <c r="G32" i="239" s="1"/>
  <c r="T14" i="239"/>
  <c r="T15" i="239" s="1"/>
  <c r="G30" i="239" s="1"/>
  <c r="T36" i="239" s="1"/>
  <c r="T37" i="239" s="1"/>
  <c r="K51" i="238"/>
  <c r="H39" i="45"/>
  <c r="H35" i="45"/>
  <c r="D181" i="176"/>
  <c r="H181" i="176" s="1"/>
  <c r="Q181" i="176" s="1"/>
  <c r="G18" i="140"/>
  <c r="Q89" i="176"/>
  <c r="G20" i="42"/>
  <c r="G29" i="171"/>
  <c r="G36" i="171" s="1"/>
  <c r="G27" i="44"/>
  <c r="G26" i="27"/>
  <c r="G24" i="50"/>
  <c r="I29" i="16"/>
  <c r="I28" i="16"/>
  <c r="I30" i="62"/>
  <c r="I28" i="62"/>
  <c r="G25" i="233"/>
  <c r="T17" i="239"/>
  <c r="T18" i="239" s="1"/>
  <c r="G31" i="239" s="1"/>
  <c r="L35" i="174"/>
  <c r="G24" i="46"/>
  <c r="G20" i="43"/>
  <c r="F21" i="39"/>
  <c r="H31" i="45"/>
  <c r="W22" i="75"/>
  <c r="W23" i="75" s="1"/>
  <c r="G23" i="75" s="1"/>
  <c r="W20" i="229"/>
  <c r="W21" i="229" s="1"/>
  <c r="F22" i="229" s="1"/>
  <c r="W21" i="227"/>
  <c r="W22" i="227" s="1"/>
  <c r="F24" i="227" s="1"/>
  <c r="I44" i="239"/>
  <c r="G29" i="63"/>
  <c r="I33" i="63" s="1"/>
  <c r="I30" i="195"/>
  <c r="N17" i="35"/>
  <c r="W30" i="196"/>
  <c r="H41" i="196" s="1"/>
  <c r="Y31" i="221"/>
  <c r="Y44" i="221" s="1"/>
  <c r="Y45" i="221" s="1"/>
  <c r="Y23" i="221"/>
  <c r="X26" i="235"/>
  <c r="W31" i="235"/>
  <c r="X30" i="235" s="1"/>
  <c r="I11" i="179"/>
  <c r="W23" i="219"/>
  <c r="W31" i="219"/>
  <c r="W30" i="220"/>
  <c r="W40" i="220" s="1"/>
  <c r="W42" i="220" s="1"/>
  <c r="W43" i="220" s="1"/>
  <c r="E40" i="220" s="1"/>
  <c r="J34" i="41"/>
  <c r="H21" i="179" s="1"/>
  <c r="L21" i="179" s="1"/>
  <c r="W22" i="247"/>
  <c r="W23" i="247" s="1"/>
  <c r="G23" i="247" s="1"/>
  <c r="G23" i="46"/>
  <c r="K16" i="79"/>
  <c r="E28" i="239"/>
  <c r="G36" i="155"/>
  <c r="G35" i="155"/>
  <c r="I43" i="238"/>
  <c r="H19" i="154"/>
  <c r="L19" i="154" s="1"/>
  <c r="G24" i="168"/>
  <c r="G37" i="168" s="1"/>
  <c r="G27" i="252"/>
  <c r="J11" i="252"/>
  <c r="G26" i="252"/>
  <c r="W17" i="153"/>
  <c r="W18" i="153" s="1"/>
  <c r="H28" i="153" s="1"/>
  <c r="F34" i="48"/>
  <c r="F33" i="48"/>
  <c r="G27" i="48"/>
  <c r="W33" i="48" s="1"/>
  <c r="G33" i="48" s="1"/>
  <c r="G33" i="236"/>
  <c r="H33" i="247"/>
  <c r="K16" i="245"/>
  <c r="H27" i="153"/>
  <c r="W25" i="153" s="1"/>
  <c r="Y22" i="153" s="1"/>
  <c r="G23" i="168"/>
  <c r="G38" i="168" s="1"/>
  <c r="Y31" i="169"/>
  <c r="H18" i="152"/>
  <c r="L18" i="152" s="1"/>
  <c r="H34" i="155" l="1"/>
  <c r="H36" i="155"/>
  <c r="H35" i="155"/>
  <c r="L28" i="179"/>
  <c r="J38" i="179" s="1"/>
  <c r="J44" i="179" s="1"/>
  <c r="J46" i="179" s="1"/>
  <c r="I11" i="174"/>
  <c r="J32" i="63"/>
  <c r="H20" i="174" s="1"/>
  <c r="L20" i="174" s="1"/>
  <c r="V40" i="236"/>
  <c r="X42" i="236"/>
  <c r="V33" i="236" s="1"/>
  <c r="H32" i="236" s="1"/>
  <c r="G32" i="236"/>
  <c r="G39" i="236" s="1"/>
  <c r="M107" i="254"/>
  <c r="M95" i="254"/>
  <c r="H42" i="153"/>
  <c r="K42" i="153" s="1"/>
  <c r="G35" i="153"/>
  <c r="W34" i="153"/>
  <c r="G34" i="153" s="1"/>
  <c r="X22" i="153"/>
  <c r="G37" i="153" s="1"/>
  <c r="W42" i="151"/>
  <c r="W34" i="151"/>
  <c r="G34" i="151" s="1"/>
  <c r="K42" i="151"/>
  <c r="G35" i="169"/>
  <c r="G31" i="169"/>
  <c r="X27" i="168"/>
  <c r="E33" i="168" s="1"/>
  <c r="H43" i="151"/>
  <c r="K43" i="151" s="1"/>
  <c r="H27" i="151"/>
  <c r="W31" i="151" s="1"/>
  <c r="Y29" i="151" s="1"/>
  <c r="AA35" i="151" s="1"/>
  <c r="G35" i="151" s="1"/>
  <c r="H29" i="152"/>
  <c r="H30" i="152" s="1"/>
  <c r="L30" i="152" s="1"/>
  <c r="Y30" i="235"/>
  <c r="J36" i="235" s="1"/>
  <c r="T28" i="201"/>
  <c r="F28" i="201" s="1"/>
  <c r="Y26" i="235"/>
  <c r="J33" i="235" s="1"/>
  <c r="Y24" i="187"/>
  <c r="J33" i="187" s="1"/>
  <c r="W29" i="187"/>
  <c r="I40" i="187" s="1"/>
  <c r="I36" i="187" s="1"/>
  <c r="H35" i="187"/>
  <c r="H35" i="235"/>
  <c r="H32" i="154"/>
  <c r="L32" i="154" s="1"/>
  <c r="T35" i="234"/>
  <c r="T36" i="234" s="1"/>
  <c r="H33" i="234" s="1"/>
  <c r="T37" i="234"/>
  <c r="T38" i="234" s="1"/>
  <c r="T39" i="234" s="1"/>
  <c r="G41" i="234" s="1"/>
  <c r="I41" i="234" s="1"/>
  <c r="T41" i="234"/>
  <c r="T42" i="234" s="1"/>
  <c r="T43" i="234" s="1"/>
  <c r="G42" i="234" s="1"/>
  <c r="I42" i="234" s="1"/>
  <c r="B173" i="176"/>
  <c r="B186" i="176"/>
  <c r="T164" i="176" s="1"/>
  <c r="C81" i="176"/>
  <c r="B85" i="176" s="1"/>
  <c r="D81" i="176"/>
  <c r="C85" i="176" s="1"/>
  <c r="H81" i="176"/>
  <c r="G85" i="176" s="1"/>
  <c r="B130" i="176"/>
  <c r="T113" i="176" s="1"/>
  <c r="B117" i="176"/>
  <c r="T39" i="239"/>
  <c r="T43" i="239"/>
  <c r="T44" i="239" s="1"/>
  <c r="T45" i="239" s="1"/>
  <c r="J33" i="63"/>
  <c r="H18" i="174" s="1"/>
  <c r="L18" i="174" s="1"/>
  <c r="L26" i="174" s="1"/>
  <c r="J37" i="174" s="1"/>
  <c r="J43" i="174" s="1"/>
  <c r="G41" i="239"/>
  <c r="I41" i="239" s="1"/>
  <c r="T38" i="239"/>
  <c r="I38" i="187"/>
  <c r="W27" i="220"/>
  <c r="E43" i="220" s="1"/>
  <c r="W26" i="220"/>
  <c r="E39" i="220" s="1"/>
  <c r="W24" i="219"/>
  <c r="E34" i="219" s="1"/>
  <c r="W30" i="219"/>
  <c r="W39" i="219" s="1"/>
  <c r="W40" i="219" s="1"/>
  <c r="W41" i="219" s="1"/>
  <c r="E35" i="219" s="1"/>
  <c r="I40" i="235"/>
  <c r="I36" i="235" s="1"/>
  <c r="Y30" i="221"/>
  <c r="Y39" i="221" s="1"/>
  <c r="Y40" i="221" s="1"/>
  <c r="Y42" i="221" s="1"/>
  <c r="E40" i="221" s="1"/>
  <c r="Y24" i="221"/>
  <c r="Y25" i="221" s="1"/>
  <c r="E39" i="221" s="1"/>
  <c r="I38" i="235"/>
  <c r="I33" i="235" s="1"/>
  <c r="H45" i="235" s="1"/>
  <c r="J45" i="235" s="1"/>
  <c r="W42" i="153"/>
  <c r="H43" i="153" s="1"/>
  <c r="K43" i="153" s="1"/>
  <c r="J32" i="252"/>
  <c r="J33" i="252"/>
  <c r="H18" i="154"/>
  <c r="L18" i="154" s="1"/>
  <c r="L24" i="154" s="1"/>
  <c r="H17" i="152"/>
  <c r="L17" i="152" s="1"/>
  <c r="L23" i="152" s="1"/>
  <c r="J40" i="179" l="1"/>
  <c r="H39" i="236"/>
  <c r="H42" i="236"/>
  <c r="G36" i="236"/>
  <c r="G42" i="236" s="1"/>
  <c r="H36" i="236"/>
  <c r="H33" i="154"/>
  <c r="L33" i="154" s="1"/>
  <c r="X29" i="151"/>
  <c r="G37" i="151" s="1"/>
  <c r="L29" i="152"/>
  <c r="L32" i="152" s="1"/>
  <c r="J40" i="235"/>
  <c r="X28" i="187"/>
  <c r="Y28" i="187"/>
  <c r="J36" i="187" s="1"/>
  <c r="J38" i="235"/>
  <c r="J38" i="187"/>
  <c r="I33" i="187"/>
  <c r="G45" i="187" s="1"/>
  <c r="I45" i="187" s="1"/>
  <c r="H35" i="234"/>
  <c r="T40" i="239"/>
  <c r="T41" i="239" s="1"/>
  <c r="E35" i="239"/>
  <c r="G43" i="239"/>
  <c r="I43" i="239" s="1"/>
  <c r="E37" i="239"/>
  <c r="H34" i="234"/>
  <c r="G40" i="234"/>
  <c r="I40" i="234" s="1"/>
  <c r="D117" i="176"/>
  <c r="C121" i="176" s="1"/>
  <c r="C117" i="176"/>
  <c r="B121" i="176" s="1"/>
  <c r="G117" i="176"/>
  <c r="D121" i="176" s="1"/>
  <c r="H117" i="176"/>
  <c r="G121" i="176" s="1"/>
  <c r="H85" i="176"/>
  <c r="S89" i="176" s="1"/>
  <c r="C173" i="176"/>
  <c r="B177" i="176" s="1"/>
  <c r="H173" i="176"/>
  <c r="G177" i="176" s="1"/>
  <c r="D173" i="176"/>
  <c r="C177" i="176" s="1"/>
  <c r="G173" i="176"/>
  <c r="D177" i="176" s="1"/>
  <c r="J39" i="174"/>
  <c r="J45" i="174"/>
  <c r="I52" i="238"/>
  <c r="I48" i="238"/>
  <c r="I50" i="238"/>
  <c r="I47" i="238"/>
  <c r="I51" i="238"/>
  <c r="L35" i="154"/>
  <c r="J39" i="154" s="1"/>
  <c r="J40" i="187" l="1"/>
  <c r="E36" i="239"/>
  <c r="G42" i="239"/>
  <c r="I42" i="239" s="1"/>
  <c r="H177" i="176"/>
  <c r="S181" i="176" s="1"/>
  <c r="T162" i="176" s="1"/>
  <c r="H121" i="176"/>
  <c r="S125" i="176" s="1"/>
  <c r="B134" i="176" s="1"/>
  <c r="T79" i="176"/>
  <c r="B98" i="176"/>
  <c r="J37" i="154"/>
  <c r="J41" i="154" s="1"/>
  <c r="J36" i="152"/>
  <c r="J34" i="152"/>
  <c r="B190" i="176" l="1"/>
  <c r="T83" i="176"/>
  <c r="B106" i="176"/>
  <c r="B152" i="176"/>
  <c r="C152" i="176" s="1"/>
  <c r="D152" i="176" s="1"/>
  <c r="B156" i="176"/>
  <c r="T121" i="176" s="1"/>
  <c r="T115" i="176"/>
  <c r="B207" i="176"/>
  <c r="C207" i="176" s="1"/>
  <c r="T166" i="176"/>
  <c r="B211" i="176"/>
  <c r="T172" i="176" s="1"/>
  <c r="J45" i="154"/>
  <c r="J47" i="154" s="1"/>
  <c r="J38" i="152"/>
  <c r="J42" i="152"/>
  <c r="J44" i="152" s="1"/>
</calcChain>
</file>

<file path=xl/sharedStrings.xml><?xml version="1.0" encoding="utf-8"?>
<sst xmlns="http://schemas.openxmlformats.org/spreadsheetml/2006/main" count="6979" uniqueCount="2431">
  <si>
    <t>Fosfato Natural.</t>
  </si>
  <si>
    <t>Dose de P2O5</t>
  </si>
  <si>
    <t>P2O5  - Orgânico.</t>
  </si>
  <si>
    <t>Fosf. Nat. (Positivo)</t>
  </si>
  <si>
    <t>Dose de K2O</t>
  </si>
  <si>
    <t>K2O - Orgânico</t>
  </si>
  <si>
    <t>kg/ha de P2O6</t>
  </si>
  <si>
    <t>kg/ha de Fosf. Nat.</t>
  </si>
  <si>
    <t>kg/ha de Sulf. de K</t>
  </si>
  <si>
    <t>Sulfato de K (Positivo)</t>
  </si>
  <si>
    <t>18 % de P2O5</t>
  </si>
  <si>
    <t>Fosfato natural reativo</t>
  </si>
  <si>
    <t>9 % de P2O5</t>
  </si>
  <si>
    <r>
      <t>kg/ha de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</si>
  <si>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kg/ha de N (90%)</t>
  </si>
  <si>
    <r>
      <t>kg/ha de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5 </t>
    </r>
    <r>
      <rPr>
        <sz val="10"/>
        <rFont val="Arial"/>
        <family val="2"/>
      </rPr>
      <t>(80%)</t>
    </r>
  </si>
  <si>
    <r>
      <t>kg/ha de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(90%)</t>
    </r>
  </si>
  <si>
    <t xml:space="preserve">A cada dois anos </t>
  </si>
  <si>
    <t>Quando os frutos atingem a fase de chumbinho que, geralmente, coincide com o período</t>
  </si>
  <si>
    <t xml:space="preserve">Devem ser classificados considerando-se a idade das lavouras, variedades, topografia </t>
  </si>
  <si>
    <t>Em cada talhão, devem ser amostradas em torno de 20 plantas, coletando-se o terceiro</t>
  </si>
  <si>
    <t xml:space="preserve">de setembro a novembro. </t>
  </si>
  <si>
    <t>do terreno, tipo de solo e características das plantas como carga e coloração das folhas.</t>
  </si>
  <si>
    <t>ou quarto par (contados da ponta para a base) de ramos produtivos localizados na altura</t>
  </si>
  <si>
    <t>Quantidade de Insumos</t>
  </si>
  <si>
    <t>Calagem</t>
  </si>
  <si>
    <t>Preço de venda por caixa =</t>
  </si>
  <si>
    <t xml:space="preserve">      P </t>
  </si>
  <si>
    <t xml:space="preserve">    K</t>
  </si>
  <si>
    <t xml:space="preserve">      MO </t>
  </si>
  <si>
    <t xml:space="preserve"> dag/kg</t>
  </si>
  <si>
    <t>1° Opção:</t>
  </si>
  <si>
    <t>2° Opção:</t>
  </si>
  <si>
    <t>Aplicação de</t>
  </si>
  <si>
    <t xml:space="preserve">        Quantidade dos insumos (referente à 1° opção):</t>
  </si>
  <si>
    <t>...........................................................................................</t>
  </si>
  <si>
    <t>Fosmag</t>
  </si>
  <si>
    <t>0,30-1,00</t>
  </si>
  <si>
    <t>0,25-0,60</t>
  </si>
  <si>
    <t>0,50-1,20</t>
  </si>
  <si>
    <t>0,50-1,2</t>
  </si>
  <si>
    <t>0,60-1,00</t>
  </si>
  <si>
    <t>0,60-0,90</t>
  </si>
  <si>
    <t>0,12-0,22</t>
  </si>
  <si>
    <t>0,15-0,23</t>
  </si>
  <si>
    <t>0,15-0,50</t>
  </si>
  <si>
    <t>0,50-0,80</t>
  </si>
  <si>
    <t>0,90-0,11</t>
  </si>
  <si>
    <t>0,25-0,35</t>
  </si>
  <si>
    <t>0,29-0,31</t>
  </si>
  <si>
    <t>0,20-0,45</t>
  </si>
  <si>
    <t>0,80-0,12</t>
  </si>
  <si>
    <t>0,10-0,20</t>
  </si>
  <si>
    <t>0,33-0,38</t>
  </si>
  <si>
    <t>0,10-0,50</t>
  </si>
  <si>
    <t>0,11-0,15</t>
  </si>
  <si>
    <t>0,13-0,18</t>
  </si>
  <si>
    <t>0,30-0,35</t>
  </si>
  <si>
    <t>0,14-0,30</t>
  </si>
  <si>
    <t>0,50-0,70</t>
  </si>
  <si>
    <t>0,26-0,30</t>
  </si>
  <si>
    <t>0,21-0,40</t>
  </si>
  <si>
    <t>0,18-0,26</t>
  </si>
  <si>
    <t>50-200</t>
  </si>
  <si>
    <t>100-200</t>
  </si>
  <si>
    <t>50-100</t>
  </si>
  <si>
    <t>30-150</t>
  </si>
  <si>
    <t>5-15</t>
  </si>
  <si>
    <t>30-100</t>
  </si>
  <si>
    <t>15-25</t>
  </si>
  <si>
    <t>5-150</t>
  </si>
  <si>
    <t>30-40</t>
  </si>
  <si>
    <t>30-50</t>
  </si>
  <si>
    <t>15-50</t>
  </si>
  <si>
    <t>25-100</t>
  </si>
  <si>
    <t>80-360</t>
  </si>
  <si>
    <t>20-50</t>
  </si>
  <si>
    <t>6-30</t>
  </si>
  <si>
    <t>200-1800</t>
  </si>
  <si>
    <t>10-25</t>
  </si>
  <si>
    <t>60-120</t>
  </si>
  <si>
    <t>5-16</t>
  </si>
  <si>
    <t>36-100</t>
  </si>
  <si>
    <t>40</t>
  </si>
  <si>
    <t>15</t>
  </si>
  <si>
    <t>5</t>
  </si>
  <si>
    <t>100</t>
  </si>
  <si>
    <t>10</t>
  </si>
  <si>
    <t>80-160</t>
  </si>
  <si>
    <t>11-13</t>
  </si>
  <si>
    <t>4-8</t>
  </si>
  <si>
    <t>60-100</t>
  </si>
  <si>
    <t>26.-60</t>
  </si>
  <si>
    <t>10-20</t>
  </si>
  <si>
    <t>50-250</t>
  </si>
  <si>
    <t>33-53</t>
  </si>
  <si>
    <t>45</t>
  </si>
  <si>
    <t>12</t>
  </si>
  <si>
    <t>3</t>
  </si>
  <si>
    <t>43</t>
  </si>
  <si>
    <t>24</t>
  </si>
  <si>
    <t>30</t>
  </si>
  <si>
    <t>60</t>
  </si>
  <si>
    <t>26-60</t>
  </si>
  <si>
    <t>5-20</t>
  </si>
  <si>
    <t>aos 15, 30, 45 e dias após plantio</t>
  </si>
  <si>
    <r>
      <t xml:space="preserve">2) </t>
    </r>
    <r>
      <rPr>
        <b/>
        <sz val="10"/>
        <rFont val="Arial"/>
        <family val="2"/>
      </rPr>
      <t>Adubação de segundo ano</t>
    </r>
  </si>
  <si>
    <r>
      <t xml:space="preserve">2) </t>
    </r>
    <r>
      <rPr>
        <b/>
        <sz val="10"/>
        <rFont val="Arial"/>
        <family val="2"/>
      </rPr>
      <t>Adubação de quinto ano</t>
    </r>
  </si>
  <si>
    <r>
      <t xml:space="preserve">3) </t>
    </r>
    <r>
      <rPr>
        <b/>
        <sz val="10"/>
        <rFont val="Arial"/>
        <family val="2"/>
      </rPr>
      <t>Calagem</t>
    </r>
  </si>
  <si>
    <t>MO &lt;10</t>
  </si>
  <si>
    <t>MO &lt; 10</t>
  </si>
  <si>
    <t>kg/ha de N +</t>
  </si>
  <si>
    <r>
      <t>kg/ha de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5 </t>
    </r>
    <r>
      <rPr>
        <sz val="10"/>
        <rFont val="Arial"/>
        <family val="2"/>
      </rPr>
      <t>+</t>
    </r>
  </si>
  <si>
    <r>
      <t>kg/ha de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+</t>
    </r>
  </si>
  <si>
    <t>calcário (g/cova) +</t>
  </si>
  <si>
    <t>t/ha de calcário (Ler observação 1 e 2)</t>
  </si>
  <si>
    <r>
      <t>CTC do solo</t>
    </r>
    <r>
      <rPr>
        <sz val="8"/>
        <rFont val="Arial"/>
        <family val="2"/>
      </rPr>
      <t>(cmolc/dm3)</t>
    </r>
  </si>
  <si>
    <r>
      <t xml:space="preserve">Sat. Bases </t>
    </r>
    <r>
      <rPr>
        <sz val="8"/>
        <rFont val="Arial"/>
        <family val="2"/>
      </rPr>
      <t>(%)</t>
    </r>
  </si>
  <si>
    <r>
      <t xml:space="preserve">PRNT do calcário </t>
    </r>
    <r>
      <rPr>
        <sz val="8"/>
        <rFont val="Arial"/>
        <family val="2"/>
      </rPr>
      <t>(%)</t>
    </r>
  </si>
  <si>
    <t>t/ha calc</t>
  </si>
  <si>
    <t>0,30 x 0,40</t>
  </si>
  <si>
    <t>1,20 x 0,60</t>
  </si>
  <si>
    <t>2,20 x 3,00</t>
  </si>
  <si>
    <t>1,00 x 0,30</t>
  </si>
  <si>
    <t>1,20 x 0,40</t>
  </si>
  <si>
    <t>0,40 x 0,10</t>
  </si>
  <si>
    <t>1,30 x 0,80</t>
  </si>
  <si>
    <t>Brocolis Verão</t>
  </si>
  <si>
    <t>Brocolis Inverno</t>
  </si>
  <si>
    <t>1,00 x 0,50</t>
  </si>
  <si>
    <t>1,20 x 0,50</t>
  </si>
  <si>
    <t>0,30 x 0,10</t>
  </si>
  <si>
    <t>0,25 x 0,07</t>
  </si>
  <si>
    <t>4,00 x 4,00</t>
  </si>
  <si>
    <t>1,40 x 0,30</t>
  </si>
  <si>
    <t>Taro</t>
  </si>
  <si>
    <t>Cará</t>
  </si>
  <si>
    <t>1,00 x 0,40</t>
  </si>
  <si>
    <t>1,50 x 0,80</t>
  </si>
  <si>
    <t>0,40 x 0,35</t>
  </si>
  <si>
    <t>0,25 x 0,05</t>
  </si>
  <si>
    <t>0,60 x 0,30</t>
  </si>
  <si>
    <t>0,25 x 0,01</t>
  </si>
  <si>
    <t>Brócolis</t>
  </si>
  <si>
    <t>Couve-Folha</t>
  </si>
  <si>
    <t>.....................................................................</t>
  </si>
  <si>
    <t>Em caso de diagnose de deficiências, aplicar chorume de composto, ou</t>
  </si>
  <si>
    <t>Teor de K</t>
  </si>
  <si>
    <t>60 dias da emergência das plântulas</t>
  </si>
  <si>
    <r>
      <t xml:space="preserve">ou  </t>
    </r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  L de esterco bovino</t>
    </r>
  </si>
  <si>
    <t>g de</t>
  </si>
  <si>
    <t>aos 20 e 40 dias  do plantio.</t>
  </si>
  <si>
    <t>Fertirrigação (com N e K)</t>
  </si>
  <si>
    <r>
      <t>Informações para uso da planilha</t>
    </r>
    <r>
      <rPr>
        <sz val="10"/>
        <rFont val="Arial"/>
        <family val="2"/>
      </rPr>
      <t>:</t>
    </r>
  </si>
  <si>
    <t>Digite as informações nas células com bordas utilizando a tecla "Tab" para caminhamento</t>
  </si>
  <si>
    <r>
      <t>Click no ícone</t>
    </r>
    <r>
      <rPr>
        <sz val="10"/>
        <color indexed="61"/>
        <rFont val="Arial"/>
        <family val="2"/>
      </rPr>
      <t xml:space="preserve"> </t>
    </r>
    <r>
      <rPr>
        <sz val="10"/>
        <rFont val="Arial"/>
        <family val="2"/>
      </rPr>
      <t xml:space="preserve"> (Tabela)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para obter informações sobre o ciclo e exigências em N e K das culturas</t>
    </r>
  </si>
  <si>
    <r>
      <t xml:space="preserve">meses </t>
    </r>
    <r>
      <rPr>
        <sz val="8"/>
        <rFont val="Arial"/>
        <family val="2"/>
      </rPr>
      <t xml:space="preserve"> </t>
    </r>
  </si>
  <si>
    <t>Área a ser fertirrigada:</t>
  </si>
  <si>
    <r>
      <t>m</t>
    </r>
    <r>
      <rPr>
        <vertAlign val="superscript"/>
        <sz val="10"/>
        <rFont val="Arial"/>
        <family val="2"/>
      </rPr>
      <t>2</t>
    </r>
  </si>
  <si>
    <t>Quantidade de N :</t>
  </si>
  <si>
    <r>
      <t>Quantidade de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:</t>
    </r>
  </si>
  <si>
    <t>Freqüência de aplicação:</t>
  </si>
  <si>
    <t>kg/ha do fertilizante 1</t>
  </si>
  <si>
    <t>k/ha de N fornecido pelo fert. 1</t>
  </si>
  <si>
    <t xml:space="preserve">         O primeiro fertilizante deve conter K, podendo conter ou não N, e o segundo deve conter somente N.</t>
  </si>
  <si>
    <t xml:space="preserve">  % de K</t>
  </si>
  <si>
    <t>k/ha de N a ser complementado</t>
  </si>
  <si>
    <t>1°</t>
  </si>
  <si>
    <t>kg/ha do fertilizante 2</t>
  </si>
  <si>
    <t>2°</t>
  </si>
  <si>
    <t>kg/talhão do fertilizante 1</t>
  </si>
  <si>
    <t>kg/talhão do fertilizante 2</t>
  </si>
  <si>
    <t>Área de Impressão</t>
  </si>
  <si>
    <t>Quantidade de fertilizante por aplicação:</t>
  </si>
  <si>
    <t xml:space="preserve">kg  de  </t>
  </si>
  <si>
    <t>kg  de</t>
  </si>
  <si>
    <t>Número total de aplicações durante o ciclo da cultura  =</t>
  </si>
  <si>
    <r>
      <t>m</t>
    </r>
    <r>
      <rPr>
        <vertAlign val="superscript"/>
        <sz val="10"/>
        <rFont val="Arial"/>
        <family val="2"/>
      </rPr>
      <t>2</t>
    </r>
  </si>
  <si>
    <t>..............................................................................</t>
  </si>
  <si>
    <t>Quantidade de N e K exigido por algumas culturas durante todo o ciclo</t>
  </si>
  <si>
    <t>Ciclo</t>
  </si>
  <si>
    <t>Quantidade de N</t>
  </si>
  <si>
    <t>(meses)</t>
  </si>
  <si>
    <t>(kg/ha)</t>
  </si>
  <si>
    <t>Potássio no solo</t>
  </si>
  <si>
    <t>Côco</t>
  </si>
  <si>
    <t>Salsa/Coentro</t>
  </si>
  <si>
    <t>número de aplicações</t>
  </si>
  <si>
    <t>k+</t>
  </si>
  <si>
    <t>kg/talhão do fertilizante 1 +</t>
  </si>
  <si>
    <t>Distância entre sulcos:</t>
  </si>
  <si>
    <t>aos 15 dias do plantio.</t>
  </si>
  <si>
    <t>aos 30 e 40 dias do plantio.</t>
  </si>
  <si>
    <t>Forrageiras</t>
  </si>
  <si>
    <t>Colonião</t>
  </si>
  <si>
    <t>Jaraguá</t>
  </si>
  <si>
    <t>Napier</t>
  </si>
  <si>
    <t>Amendoim</t>
  </si>
  <si>
    <t>Arroz</t>
  </si>
  <si>
    <t>Cacau</t>
  </si>
  <si>
    <t>Feijão-de-vagem</t>
  </si>
  <si>
    <t>Girassol</t>
  </si>
  <si>
    <t>Teor do Elemento</t>
  </si>
  <si>
    <t>25 % de N</t>
  </si>
  <si>
    <t>32 % de N</t>
  </si>
  <si>
    <t>14 % de N</t>
  </si>
  <si>
    <t>Nitrato de sódio</t>
  </si>
  <si>
    <t>15 % de N</t>
  </si>
  <si>
    <t>20 % de N</t>
  </si>
  <si>
    <t>44 % de N</t>
  </si>
  <si>
    <t>48 % de P2O5 e 9 % de N</t>
  </si>
  <si>
    <t>45 % de P2O5 e 16% de N</t>
  </si>
  <si>
    <t>4 % de P2O5</t>
  </si>
  <si>
    <t xml:space="preserve">  </t>
  </si>
  <si>
    <t>Fertilizantes Orgânicos</t>
  </si>
  <si>
    <t>Composto orgânico</t>
  </si>
  <si>
    <t>Palha de café</t>
  </si>
  <si>
    <t>Torta de cacau</t>
  </si>
  <si>
    <t>Esterco de galinha (gaiola)</t>
  </si>
  <si>
    <t>Esterco de galinha (cama)</t>
  </si>
  <si>
    <t>Capim meloso</t>
  </si>
  <si>
    <t>Palha de feijão</t>
  </si>
  <si>
    <t>Composto de lixo urbano</t>
  </si>
  <si>
    <t>Lodo de esgoto</t>
  </si>
  <si>
    <t>Determinação</t>
  </si>
  <si>
    <t>Elevada</t>
  </si>
  <si>
    <t>Média</t>
  </si>
  <si>
    <t>Fraca</t>
  </si>
  <si>
    <t>pH em água</t>
  </si>
  <si>
    <t>&lt; 5,0</t>
  </si>
  <si>
    <t>5,0 - 5,9</t>
  </si>
  <si>
    <t>6,0 - 6,9</t>
  </si>
  <si>
    <t>&lt; 4,5</t>
  </si>
  <si>
    <t>4,6 - 5,5</t>
  </si>
  <si>
    <t>5,6 - 6,5</t>
  </si>
  <si>
    <t>Estimativa da textura do solo</t>
  </si>
  <si>
    <t>Argilosa</t>
  </si>
  <si>
    <t>40 - 60</t>
  </si>
  <si>
    <t>Arenosa</t>
  </si>
  <si>
    <t>kg/talhão do fertilizante 2 +</t>
  </si>
  <si>
    <t>Início do cíclo até o 2° mês:</t>
  </si>
  <si>
    <t xml:space="preserve">  t/ha (Ler obsrvação 4)</t>
  </si>
  <si>
    <t>t/ha (Ler observação 1)</t>
  </si>
  <si>
    <t xml:space="preserve">  t/ha (Ler obsevação 1)</t>
  </si>
  <si>
    <t>&gt; 12</t>
  </si>
  <si>
    <r>
      <t xml:space="preserve">g/cova de   </t>
    </r>
    <r>
      <rPr>
        <b/>
        <sz val="10"/>
        <rFont val="Arial"/>
        <family val="2"/>
      </rPr>
      <t>Superfosfato Simples</t>
    </r>
  </si>
  <si>
    <t>Adubação de Plantio e Formação</t>
  </si>
  <si>
    <t>(60 dias após o plantio)</t>
  </si>
  <si>
    <t>Acidez potencial (H + Al)</t>
  </si>
  <si>
    <t>Correlação  pH SMP</t>
  </si>
  <si>
    <t>&lt; 2,5</t>
  </si>
  <si>
    <t>&gt; 5,0</t>
  </si>
  <si>
    <t>Soma de bases (SB)</t>
  </si>
  <si>
    <t>K + Ca + Mg + Na</t>
  </si>
  <si>
    <t>&lt; 2,0</t>
  </si>
  <si>
    <t>CTC efetiva (t)</t>
  </si>
  <si>
    <t>SB + Al</t>
  </si>
  <si>
    <t>&gt; 6,0</t>
  </si>
  <si>
    <t>CTC pH 7 (T)</t>
  </si>
  <si>
    <t>SB + H + Al</t>
  </si>
  <si>
    <t>&lt;4,5</t>
  </si>
  <si>
    <t>4,5 - 10</t>
  </si>
  <si>
    <t>Saturação em bases (V)</t>
  </si>
  <si>
    <t>SB/CTC x 100</t>
  </si>
  <si>
    <t>&lt; 50</t>
  </si>
  <si>
    <t>50 - 70</t>
  </si>
  <si>
    <t>&gt; 70</t>
  </si>
  <si>
    <t>Saturação de alumínio (m)</t>
  </si>
  <si>
    <t>Al/t x 100</t>
  </si>
  <si>
    <t>Matéria orgânica (MO)</t>
  </si>
  <si>
    <t>Colorimétrico</t>
  </si>
  <si>
    <t>&gt; 3,0</t>
  </si>
  <si>
    <t>Boro (B)</t>
  </si>
  <si>
    <t>Água quente</t>
  </si>
  <si>
    <t>Zinco (Zn)</t>
  </si>
  <si>
    <t>Cobre (Cu)</t>
  </si>
  <si>
    <t>Ferro (Fe)</t>
  </si>
  <si>
    <t>Manganês (Mn)</t>
  </si>
  <si>
    <r>
      <t>mg/dm</t>
    </r>
    <r>
      <rPr>
        <vertAlign val="superscript"/>
        <sz val="10"/>
        <rFont val="Arial"/>
        <family val="2"/>
      </rPr>
      <t>3</t>
    </r>
  </si>
  <si>
    <t>&gt; 0,9</t>
  </si>
  <si>
    <t>&lt; 1,0</t>
  </si>
  <si>
    <t>&gt; 2,2</t>
  </si>
  <si>
    <t>&lt; 0,8</t>
  </si>
  <si>
    <t>&gt; 1,8</t>
  </si>
  <si>
    <t>20 - 45</t>
  </si>
  <si>
    <t>&gt; 45</t>
  </si>
  <si>
    <t>5,0 - 12</t>
  </si>
  <si>
    <t xml:space="preserve">Área do Talhão: </t>
  </si>
  <si>
    <t>sc/ talhão de calcário</t>
  </si>
  <si>
    <t>aos 40 dias do plantio.</t>
  </si>
  <si>
    <t>N da Mat.Org.</t>
  </si>
  <si>
    <t>Quantidade de P2O5 e K2O no Fert. Org. (kg)</t>
  </si>
  <si>
    <t>S</t>
  </si>
  <si>
    <t>CTC</t>
  </si>
  <si>
    <t>t</t>
  </si>
  <si>
    <t>Ca na t</t>
  </si>
  <si>
    <t>V</t>
  </si>
  <si>
    <t>NC</t>
  </si>
  <si>
    <t>Gesso</t>
  </si>
  <si>
    <t>2) O gesso deve ser aplicado 2 meses após a calagem.</t>
  </si>
  <si>
    <r>
      <t xml:space="preserve">ou </t>
    </r>
    <r>
      <rPr>
        <b/>
        <sz val="10"/>
        <rFont val="Arial"/>
        <family val="2"/>
      </rPr>
      <t xml:space="preserve"> 1 </t>
    </r>
    <r>
      <rPr>
        <sz val="10"/>
        <rFont val="Arial"/>
        <family val="2"/>
      </rPr>
      <t xml:space="preserve"> Litro de  esterco bovino</t>
    </r>
  </si>
  <si>
    <t>40-50</t>
  </si>
  <si>
    <t>20-350</t>
  </si>
  <si>
    <t>10-50</t>
  </si>
  <si>
    <t>3-25</t>
  </si>
  <si>
    <t>70-400</t>
  </si>
  <si>
    <t>4-25</t>
  </si>
  <si>
    <t>8-15</t>
  </si>
  <si>
    <t>100-450</t>
  </si>
  <si>
    <t>700-900</t>
  </si>
  <si>
    <t>5-7</t>
  </si>
  <si>
    <t>400-425</t>
  </si>
  <si>
    <t>300-600</t>
  </si>
  <si>
    <t>50-70</t>
  </si>
  <si>
    <t>120-140</t>
  </si>
  <si>
    <t>6-10</t>
  </si>
  <si>
    <t>50-120</t>
  </si>
  <si>
    <t>15-100</t>
  </si>
  <si>
    <t>6-20</t>
  </si>
  <si>
    <t>200</t>
  </si>
  <si>
    <t>8</t>
  </si>
  <si>
    <t>25</t>
  </si>
  <si>
    <t>15-40</t>
  </si>
  <si>
    <t>4-10</t>
  </si>
  <si>
    <t>12-30</t>
  </si>
  <si>
    <t>50-350</t>
  </si>
  <si>
    <t>21-55</t>
  </si>
  <si>
    <t>65-100</t>
  </si>
  <si>
    <t>10-190</t>
  </si>
  <si>
    <t>4-20</t>
  </si>
  <si>
    <t>40-60</t>
  </si>
  <si>
    <t>8-10</t>
  </si>
  <si>
    <t>100-600</t>
  </si>
  <si>
    <t>34-40</t>
  </si>
  <si>
    <t>5-8</t>
  </si>
  <si>
    <t>20-30</t>
  </si>
  <si>
    <t>20-70</t>
  </si>
  <si>
    <t>m</t>
  </si>
  <si>
    <t>Análise do Solo:</t>
  </si>
  <si>
    <t>V (%)</t>
  </si>
  <si>
    <t>PRNT do calcário:</t>
  </si>
  <si>
    <t>%</t>
  </si>
  <si>
    <t>Adubação de cobertura:</t>
  </si>
  <si>
    <t>kg/ha de N</t>
  </si>
  <si>
    <t>kg/ha de P2O5</t>
  </si>
  <si>
    <t>kg/ha de K2O</t>
  </si>
  <si>
    <t>kg/ha de FTE</t>
  </si>
  <si>
    <t>ml/ha</t>
  </si>
  <si>
    <t>Quantidade de Calcário:</t>
  </si>
  <si>
    <t>t/ha</t>
  </si>
  <si>
    <t>Recomendação</t>
  </si>
  <si>
    <t>Espaçamento (m x m):</t>
  </si>
  <si>
    <t>x</t>
  </si>
  <si>
    <t>pl/ha</t>
  </si>
  <si>
    <t>g/cova de FTE</t>
  </si>
  <si>
    <t xml:space="preserve">       =</t>
  </si>
  <si>
    <t>Observações:</t>
  </si>
  <si>
    <t>Fertilizante</t>
  </si>
  <si>
    <t>L de Composto org.</t>
  </si>
  <si>
    <t>FN</t>
  </si>
  <si>
    <t>Composto (L)</t>
  </si>
  <si>
    <t>Composto $ volume cova</t>
  </si>
  <si>
    <t>FN (+)</t>
  </si>
  <si>
    <r>
      <t xml:space="preserve">  2)  Dezembro: </t>
    </r>
    <r>
      <rPr>
        <b/>
        <sz val="10"/>
        <rFont val="Arial"/>
        <family val="2"/>
      </rPr>
      <t xml:space="preserve">10 </t>
    </r>
    <r>
      <rPr>
        <sz val="10"/>
        <rFont val="Arial"/>
        <family val="2"/>
      </rPr>
      <t>L/cova de Composto orgânico =</t>
    </r>
  </si>
  <si>
    <r>
      <t xml:space="preserve">  1)  Setembro: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  L/cova de Composto orgânico  =   </t>
    </r>
    <r>
      <rPr>
        <b/>
        <sz val="10"/>
        <rFont val="Arial"/>
        <family val="2"/>
      </rPr>
      <t/>
    </r>
  </si>
  <si>
    <t>g/planta  de K</t>
  </si>
  <si>
    <t>Adubo potássico (kg/ha):</t>
  </si>
  <si>
    <t>Produtividade (Massa seca)</t>
  </si>
  <si>
    <t>sc par kg de MS</t>
  </si>
  <si>
    <r>
      <t xml:space="preserve">g/m de  </t>
    </r>
    <r>
      <rPr>
        <b/>
        <sz val="10"/>
        <rFont val="Arial"/>
        <family val="2"/>
      </rPr>
      <t>Superfosfato Simples</t>
    </r>
  </si>
  <si>
    <r>
      <t xml:space="preserve">g/m de  </t>
    </r>
    <r>
      <rPr>
        <b/>
        <sz val="10"/>
        <rFont val="Arial"/>
        <family val="2"/>
      </rPr>
      <t>FTE</t>
    </r>
  </si>
  <si>
    <t>Recomendação:</t>
  </si>
  <si>
    <t>g/planta de</t>
  </si>
  <si>
    <t>...................................................................</t>
  </si>
  <si>
    <t>Voltar</t>
  </si>
  <si>
    <t>Abacate</t>
  </si>
  <si>
    <t>Abacaxi</t>
  </si>
  <si>
    <t>Alface</t>
  </si>
  <si>
    <r>
      <t xml:space="preserve">4) </t>
    </r>
    <r>
      <rPr>
        <b/>
        <sz val="10"/>
        <rFont val="Arial"/>
        <family val="2"/>
      </rPr>
      <t>Adubação de segundo ano</t>
    </r>
  </si>
  <si>
    <t xml:space="preserve">               </t>
  </si>
  <si>
    <t>g/pl de P2O5</t>
  </si>
  <si>
    <t xml:space="preserve">   </t>
  </si>
  <si>
    <t>Preço</t>
  </si>
  <si>
    <t>Tipo de adubo</t>
  </si>
  <si>
    <t>Teor de Nutrientes</t>
  </si>
  <si>
    <t>N</t>
  </si>
  <si>
    <t xml:space="preserve">Formulado       </t>
  </si>
  <si>
    <t xml:space="preserve">     Preço médio por kg de Nutrientes</t>
  </si>
  <si>
    <t>(Sc 50 kg)</t>
  </si>
  <si>
    <t>Custo</t>
  </si>
  <si>
    <t xml:space="preserve"> </t>
  </si>
  <si>
    <t>N (g/ol)</t>
  </si>
  <si>
    <t>Uma aplicação  de</t>
  </si>
  <si>
    <t>Acerola</t>
  </si>
  <si>
    <t>Formulado (sc/ano):</t>
  </si>
  <si>
    <t>Supersimples (sc/ano):</t>
  </si>
  <si>
    <t>Calcário (sc/ano):</t>
  </si>
  <si>
    <t xml:space="preserve">Quant. de Fert. Org. : </t>
  </si>
  <si>
    <t>kg peso seco</t>
  </si>
  <si>
    <t>kg peso úmido</t>
  </si>
  <si>
    <t xml:space="preserve">g de Fosfato Natural </t>
  </si>
  <si>
    <t xml:space="preserve">    Teor de umidade</t>
  </si>
  <si>
    <t>&lt; 40</t>
  </si>
  <si>
    <t>&lt; 0,5</t>
  </si>
  <si>
    <t>Superfostato simples</t>
  </si>
  <si>
    <t>41 % de P2O5</t>
  </si>
  <si>
    <t>58 % de K2O</t>
  </si>
  <si>
    <t>44 % de K2O e 13 % de N</t>
  </si>
  <si>
    <t>Sulfato de cálcio</t>
  </si>
  <si>
    <t>16 % de Ca e 13 % de S</t>
  </si>
  <si>
    <t>9 % de Mg e 12 % de S</t>
  </si>
  <si>
    <t>20 % de Zn</t>
  </si>
  <si>
    <t>11 % de B</t>
  </si>
  <si>
    <t>17 % de B</t>
  </si>
  <si>
    <t>13 % de Cu</t>
  </si>
  <si>
    <t>Sulfato manganoso</t>
  </si>
  <si>
    <t>26 % de Mn</t>
  </si>
  <si>
    <t>Sulfato ferroso</t>
  </si>
  <si>
    <t>19 % de Fe</t>
  </si>
  <si>
    <t>54 % de Mo</t>
  </si>
  <si>
    <t>39 % de Mo</t>
  </si>
  <si>
    <t>Micronutriente</t>
  </si>
  <si>
    <t>kg/ha de Zn</t>
  </si>
  <si>
    <t>kg/ha de B</t>
  </si>
  <si>
    <t>kg/ha de Cu</t>
  </si>
  <si>
    <t>kg/ha de Mn</t>
  </si>
  <si>
    <t>Outros</t>
  </si>
  <si>
    <t>Demanda de N                         =</t>
  </si>
  <si>
    <t xml:space="preserve">  kg/ha</t>
  </si>
  <si>
    <t>Entrada</t>
  </si>
  <si>
    <t>População</t>
  </si>
  <si>
    <t>Produtividade</t>
  </si>
  <si>
    <t>Efic. Abs. de N planta               =</t>
  </si>
  <si>
    <t xml:space="preserve">  %</t>
  </si>
  <si>
    <t>sc/ha</t>
  </si>
  <si>
    <t>(%)</t>
  </si>
  <si>
    <t>Exig. N solo                              =</t>
  </si>
  <si>
    <t xml:space="preserve">  kg/ha </t>
  </si>
  <si>
    <t xml:space="preserve">Aporte de N do Solo </t>
  </si>
  <si>
    <t>Demanda de N</t>
  </si>
  <si>
    <t>MS vegetativa</t>
  </si>
  <si>
    <t>MS folha</t>
  </si>
  <si>
    <t>MS ramo</t>
  </si>
  <si>
    <t>MS caule</t>
  </si>
  <si>
    <t>MS raiz</t>
  </si>
  <si>
    <t>kg/ha</t>
  </si>
  <si>
    <t>N folha</t>
  </si>
  <si>
    <t>N ramo</t>
  </si>
  <si>
    <t>N caule</t>
  </si>
  <si>
    <t>N raiz</t>
  </si>
  <si>
    <t>N Biom. Veg.</t>
  </si>
  <si>
    <t>Produt.</t>
  </si>
  <si>
    <t>MS de Grãos</t>
  </si>
  <si>
    <t>MS de Casca</t>
  </si>
  <si>
    <t xml:space="preserve"> N Grãos</t>
  </si>
  <si>
    <t>N Casca</t>
  </si>
  <si>
    <t>N Fruto</t>
  </si>
  <si>
    <t>N Biom. Tot.</t>
  </si>
  <si>
    <t xml:space="preserve">                Produtor:</t>
  </si>
  <si>
    <t>Meados do cíclo (3° ao 6° mês):</t>
  </si>
  <si>
    <t>Final do cíclo (a partir do 7° mês):</t>
  </si>
  <si>
    <t>g de Fosfato natural</t>
  </si>
  <si>
    <t>% de P</t>
  </si>
  <si>
    <t>% de K</t>
  </si>
  <si>
    <t>% de umidade</t>
  </si>
  <si>
    <t>g/planta  de Fosfato Natural</t>
  </si>
  <si>
    <t>t/ha de adubo org. para N</t>
  </si>
  <si>
    <t>MS do adubo org.</t>
  </si>
  <si>
    <t>t/ha de adubo org. para N (Umid)</t>
  </si>
  <si>
    <t>Características do Adubo org.:</t>
  </si>
  <si>
    <t>kg/planta  de Adubo Orgânico</t>
  </si>
  <si>
    <t>kg/pl adubo org.</t>
  </si>
  <si>
    <t>kg/ha/ano de P</t>
  </si>
  <si>
    <t>kg/ha/ano de K</t>
  </si>
  <si>
    <t>kg de P no adubo org</t>
  </si>
  <si>
    <t>kg/ha de Fosfato Natural</t>
  </si>
  <si>
    <t>kg/ha de Fosfato Natural (+)</t>
  </si>
  <si>
    <t>kg de K no adubo org</t>
  </si>
  <si>
    <t>kg/ha de Sulfato de K</t>
  </si>
  <si>
    <t>kg/ha de Sulfato de K (+)</t>
  </si>
  <si>
    <t>Fosfato Natural:</t>
  </si>
  <si>
    <t>Adubo Org. (t/ano):</t>
  </si>
  <si>
    <t>Calcário (kg/ha):</t>
  </si>
  <si>
    <t>t/ha calcário</t>
  </si>
  <si>
    <r>
      <t xml:space="preserve">    Primeira  aplicação :   </t>
    </r>
    <r>
      <rPr>
        <b/>
        <sz val="10"/>
        <rFont val="Arial"/>
        <family val="2"/>
      </rPr>
      <t xml:space="preserve">50 g/planta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(no início do período chuvoso)</t>
    </r>
  </si>
  <si>
    <r>
      <t xml:space="preserve">    Segunda aplicação : </t>
    </r>
    <r>
      <rPr>
        <b/>
        <sz val="10"/>
        <rFont val="Arial"/>
        <family val="2"/>
      </rPr>
      <t>100 g/planta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primeira)</t>
    </r>
  </si>
  <si>
    <t xml:space="preserve"> m</t>
  </si>
  <si>
    <t xml:space="preserve"> covas/ha</t>
  </si>
  <si>
    <t>t/ha de calcário dolomítico</t>
  </si>
  <si>
    <t xml:space="preserve">Exigência em nutrientes: </t>
  </si>
  <si>
    <t>Relações mais importantes</t>
  </si>
  <si>
    <t>Ca x 1,4 = CaO</t>
  </si>
  <si>
    <t>Mg x 1,7 = MgO</t>
  </si>
  <si>
    <t>Volume</t>
  </si>
  <si>
    <t>kL</t>
  </si>
  <si>
    <t>cm</t>
  </si>
  <si>
    <t>mm</t>
  </si>
  <si>
    <t>kmol</t>
  </si>
  <si>
    <t>hmol</t>
  </si>
  <si>
    <t>damol</t>
  </si>
  <si>
    <t>mol</t>
  </si>
  <si>
    <t>dmol</t>
  </si>
  <si>
    <t>cmol</t>
  </si>
  <si>
    <t>mmol</t>
  </si>
  <si>
    <t>Concentração</t>
  </si>
  <si>
    <t>unidade</t>
  </si>
  <si>
    <t>Fator de conversão</t>
  </si>
  <si>
    <t>Banana</t>
  </si>
  <si>
    <t>Batata</t>
  </si>
  <si>
    <t>Batata Doce</t>
  </si>
  <si>
    <t>Beterraba</t>
  </si>
  <si>
    <t>Berinjela</t>
  </si>
  <si>
    <t>Brócolos</t>
  </si>
  <si>
    <t>Café Arábica</t>
  </si>
  <si>
    <t>Café Conilon</t>
  </si>
  <si>
    <t>Cana</t>
  </si>
  <si>
    <t>Cenoura</t>
  </si>
  <si>
    <t>Chuchu</t>
  </si>
  <si>
    <t>Cítrus</t>
  </si>
  <si>
    <t>Coco</t>
  </si>
  <si>
    <t>Couve-flor</t>
  </si>
  <si>
    <t>Feijão</t>
  </si>
  <si>
    <t>Figo</t>
  </si>
  <si>
    <t>Goiaba</t>
  </si>
  <si>
    <t>Jiló</t>
  </si>
  <si>
    <t>Mamão</t>
  </si>
  <si>
    <t>Manga</t>
  </si>
  <si>
    <t>Mandioca</t>
  </si>
  <si>
    <t>Maracujá</t>
  </si>
  <si>
    <t>Milho</t>
  </si>
  <si>
    <t>Morango</t>
  </si>
  <si>
    <t>Nectarina</t>
  </si>
  <si>
    <t>Pepino</t>
  </si>
  <si>
    <t>Pêssego</t>
  </si>
  <si>
    <t>Pimentão</t>
  </si>
  <si>
    <t>Quiabo</t>
  </si>
  <si>
    <t>Repolho</t>
  </si>
  <si>
    <t>Seringueira</t>
  </si>
  <si>
    <t>Composição do FTE</t>
  </si>
  <si>
    <t>Produto</t>
  </si>
  <si>
    <t>Mo</t>
  </si>
  <si>
    <t>FTE BR-8</t>
  </si>
  <si>
    <t>FTE BR-9</t>
  </si>
  <si>
    <t>FTE BR-10</t>
  </si>
  <si>
    <t>FTE BR-12</t>
  </si>
  <si>
    <t>FTE BR-13</t>
  </si>
  <si>
    <t>FTE BR-15</t>
  </si>
  <si>
    <t>FTE BR-16</t>
  </si>
  <si>
    <t>Capina/roçada</t>
  </si>
  <si>
    <t>1 mês após plantio:</t>
  </si>
  <si>
    <t>4 meses após plantio:</t>
  </si>
  <si>
    <t>8 meses após plantio:</t>
  </si>
  <si>
    <t>15 dias após o transplantio:</t>
  </si>
  <si>
    <t>30 dias após o transplantio:</t>
  </si>
  <si>
    <t>50 dias após o transplantio:</t>
  </si>
  <si>
    <t>.......................................................................................</t>
  </si>
  <si>
    <t xml:space="preserve">    Data:</t>
  </si>
  <si>
    <r>
      <t>Sat. Bases (V)</t>
    </r>
    <r>
      <rPr>
        <sz val="8"/>
        <rFont val="Arial"/>
        <family val="2"/>
      </rPr>
      <t>(%)</t>
    </r>
  </si>
  <si>
    <t>g/cova de</t>
  </si>
  <si>
    <t>g/m de sulco de</t>
  </si>
  <si>
    <t>g/cova de Superfosfato Simples</t>
  </si>
  <si>
    <t>Pupunha</t>
  </si>
  <si>
    <t>Sat. Bases (V)</t>
  </si>
  <si>
    <t xml:space="preserve"> %</t>
  </si>
  <si>
    <t>CTC do solo (T)</t>
  </si>
  <si>
    <t>PRNT do calcário</t>
  </si>
  <si>
    <t>Número de covas do talhão:</t>
  </si>
  <si>
    <t>Covas</t>
  </si>
  <si>
    <t>Quantidade de nutrientes:</t>
  </si>
  <si>
    <t>kg/ha/ano de N</t>
  </si>
  <si>
    <r>
      <t>kg/ha/ano de P</t>
    </r>
    <r>
      <rPr>
        <sz val="5"/>
        <rFont val="Arial"/>
        <family val="2"/>
      </rPr>
      <t>2</t>
    </r>
    <r>
      <rPr>
        <sz val="9"/>
        <rFont val="Arial"/>
        <family val="2"/>
      </rPr>
      <t>O</t>
    </r>
    <r>
      <rPr>
        <sz val="5"/>
        <rFont val="Arial"/>
        <family val="2"/>
      </rPr>
      <t>5</t>
    </r>
  </si>
  <si>
    <r>
      <t>kg/ha/ano de K</t>
    </r>
    <r>
      <rPr>
        <sz val="5"/>
        <rFont val="Arial"/>
        <family val="2"/>
      </rPr>
      <t>2</t>
    </r>
    <r>
      <rPr>
        <sz val="9"/>
        <rFont val="Arial"/>
        <family val="2"/>
      </rPr>
      <t>O</t>
    </r>
  </si>
  <si>
    <t>Doses de fertilizantes:</t>
  </si>
  <si>
    <t>Calagem:</t>
  </si>
  <si>
    <t>Descrição</t>
  </si>
  <si>
    <t>ha</t>
  </si>
  <si>
    <t xml:space="preserve">        Área do talhão:</t>
  </si>
  <si>
    <t>Quant. de formulado (sc/ano):</t>
  </si>
  <si>
    <t>Quant. de supersimples (sc/ano):</t>
  </si>
  <si>
    <t>Quant. de calcário (sc/ano):</t>
  </si>
  <si>
    <t>Área do talhão:</t>
  </si>
  <si>
    <t>Número de cova do talhão:</t>
  </si>
  <si>
    <t>Produção (talhão):</t>
  </si>
  <si>
    <t>sc beneficiadas</t>
  </si>
  <si>
    <t>Insumos</t>
  </si>
  <si>
    <t>Quantidade</t>
  </si>
  <si>
    <t>Preço Unitário</t>
  </si>
  <si>
    <t>Total</t>
  </si>
  <si>
    <t>Formulado</t>
  </si>
  <si>
    <t>sc</t>
  </si>
  <si>
    <t>Supersimples</t>
  </si>
  <si>
    <t>Calcário</t>
  </si>
  <si>
    <t>Herbicida</t>
  </si>
  <si>
    <t>Inseticida</t>
  </si>
  <si>
    <t>Fungicida</t>
  </si>
  <si>
    <t>Mão-de-Obra</t>
  </si>
  <si>
    <t>Adubação</t>
  </si>
  <si>
    <t>Brachiaria Briz.</t>
  </si>
  <si>
    <t>Brachiaria Dec.</t>
  </si>
  <si>
    <t>1.3-2.0</t>
  </si>
  <si>
    <t>1.2-2.0</t>
  </si>
  <si>
    <t>0.08-0.3</t>
  </si>
  <si>
    <t>0.08-03</t>
  </si>
  <si>
    <t>1.2-3.0</t>
  </si>
  <si>
    <t>1.2-2.5</t>
  </si>
  <si>
    <t>0.3-0.6</t>
  </si>
  <si>
    <t>0.2-0.6</t>
  </si>
  <si>
    <t>0.15-0.40</t>
  </si>
  <si>
    <t>0.08-0.25</t>
  </si>
  <si>
    <t>4-12</t>
  </si>
  <si>
    <t>d/h</t>
  </si>
  <si>
    <t>Pulverizações</t>
  </si>
  <si>
    <t>Capina</t>
  </si>
  <si>
    <t>Colheita</t>
  </si>
  <si>
    <t xml:space="preserve"> sc da roça </t>
  </si>
  <si>
    <t>Lavagem e seca</t>
  </si>
  <si>
    <t>sc da roça</t>
  </si>
  <si>
    <t>Beneficiamento</t>
  </si>
  <si>
    <t>sc beneficiada</t>
  </si>
  <si>
    <t>Custo total do talhão =</t>
  </si>
  <si>
    <t>R$</t>
  </si>
  <si>
    <t xml:space="preserve">Custo total por hectare = </t>
  </si>
  <si>
    <t>Preço de venda por saca =</t>
  </si>
  <si>
    <t>Lucro por talhão =</t>
  </si>
  <si>
    <t xml:space="preserve">Lucro por hectare = </t>
  </si>
  <si>
    <t>Poda</t>
  </si>
  <si>
    <t>Desbrota</t>
  </si>
  <si>
    <t>Seca</t>
  </si>
  <si>
    <t>Quantidade de Fertilizantes:</t>
  </si>
  <si>
    <t>hL</t>
  </si>
  <si>
    <t>daL</t>
  </si>
  <si>
    <t>L</t>
  </si>
  <si>
    <t>dL</t>
  </si>
  <si>
    <t>cL</t>
  </si>
  <si>
    <t>mL</t>
  </si>
  <si>
    <r>
      <t xml:space="preserve">4) </t>
    </r>
    <r>
      <rPr>
        <b/>
        <sz val="12"/>
        <rFont val="Arial"/>
        <family val="2"/>
      </rPr>
      <t>Calagem</t>
    </r>
  </si>
  <si>
    <r>
      <t xml:space="preserve">3) </t>
    </r>
    <r>
      <rPr>
        <b/>
        <sz val="12"/>
        <rFont val="Arial"/>
        <family val="2"/>
      </rPr>
      <t>Calagem</t>
    </r>
  </si>
  <si>
    <t>Uma aplicação de</t>
  </si>
  <si>
    <t>Uma  aplicação  de</t>
  </si>
  <si>
    <t>Tomate</t>
  </si>
  <si>
    <t>Uva</t>
  </si>
  <si>
    <t>Energia</t>
  </si>
  <si>
    <t>kw/h</t>
  </si>
  <si>
    <t>Pulverização</t>
  </si>
  <si>
    <t>Transporte</t>
  </si>
  <si>
    <t>Combustível</t>
  </si>
  <si>
    <t>Número de plantas do talhão:</t>
  </si>
  <si>
    <r>
      <t>Quantidade dos insumos</t>
    </r>
    <r>
      <rPr>
        <sz val="10"/>
        <rFont val="Arial"/>
        <family val="2"/>
      </rPr>
      <t>:</t>
    </r>
  </si>
  <si>
    <t>Mat. Orgânica</t>
  </si>
  <si>
    <t>P (g/pl)</t>
  </si>
  <si>
    <t>N (g/pl)</t>
  </si>
  <si>
    <t>P (kg/ha)</t>
  </si>
  <si>
    <t>N (kg/ha)</t>
  </si>
  <si>
    <t>P (g/cova)</t>
  </si>
  <si>
    <t>N (g/cova)</t>
  </si>
  <si>
    <t xml:space="preserve">Produtividade esperada: </t>
  </si>
  <si>
    <t>Dimensões da cova (cm):</t>
  </si>
  <si>
    <t>P (Mehlich-1)</t>
  </si>
  <si>
    <t>K (Mehlich-1)</t>
  </si>
  <si>
    <t>g de superfosfato simples</t>
  </si>
  <si>
    <t>g de calcário</t>
  </si>
  <si>
    <t>g de FTE</t>
  </si>
  <si>
    <t>Volume cova (L)</t>
  </si>
  <si>
    <t>L de esterco de curral</t>
  </si>
  <si>
    <t>SS (g)</t>
  </si>
  <si>
    <t>calcário (t/ha)</t>
  </si>
  <si>
    <t>calcário (g/cova)</t>
  </si>
  <si>
    <t>Esterco (L)</t>
  </si>
  <si>
    <t>Aplicação na cova:</t>
  </si>
  <si>
    <t>Adubação de cobertura após plantio</t>
  </si>
  <si>
    <t>Adubação de primeiro ano</t>
  </si>
  <si>
    <t xml:space="preserve">Espaçamento: </t>
  </si>
  <si>
    <t>=</t>
  </si>
  <si>
    <t xml:space="preserve"> m/ha</t>
  </si>
  <si>
    <r>
      <t xml:space="preserve">    Terceira   aplicação : </t>
    </r>
    <r>
      <rPr>
        <b/>
        <sz val="10"/>
        <rFont val="Arial"/>
        <family val="2"/>
      </rPr>
      <t>150 g/planta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segunda)</t>
    </r>
  </si>
  <si>
    <t>Quantidade dos insumos:</t>
  </si>
  <si>
    <t>(R$/ kg de nutr.)</t>
  </si>
  <si>
    <t>R$/kg nut.</t>
  </si>
  <si>
    <t>P2O5</t>
  </si>
  <si>
    <t>1,60-2,00</t>
  </si>
  <si>
    <t>1,50-1,70</t>
  </si>
  <si>
    <t>2,00-2,40</t>
  </si>
  <si>
    <t>2,70-3,60</t>
  </si>
  <si>
    <t>2,50-2,70</t>
  </si>
  <si>
    <t>2,20-2,40</t>
  </si>
  <si>
    <t>2,20-3,00</t>
  </si>
  <si>
    <t>1,40-3,00</t>
  </si>
  <si>
    <t>0,40-0,50</t>
  </si>
  <si>
    <t>3,00-3,50</t>
  </si>
  <si>
    <t>3,00-4,00</t>
  </si>
  <si>
    <t>4,00-6,00</t>
  </si>
  <si>
    <t>3,00-5,00</t>
  </si>
  <si>
    <t>3,50-5,00</t>
  </si>
  <si>
    <t>4,00-5,00</t>
  </si>
  <si>
    <t>3,30-4,50</t>
  </si>
  <si>
    <t>3,00-5,50</t>
  </si>
  <si>
    <t>2,50-3,50</t>
  </si>
  <si>
    <t>2,00-3,00</t>
  </si>
  <si>
    <t>4,50-6,00</t>
  </si>
  <si>
    <t>2,50-5,00</t>
  </si>
  <si>
    <t>1,50-2,50</t>
  </si>
  <si>
    <t>3,50-4,00</t>
  </si>
  <si>
    <t>3,00-6,00</t>
  </si>
  <si>
    <t>1,13-1,50</t>
  </si>
  <si>
    <t>1,28-1,47</t>
  </si>
  <si>
    <t>3,00-4,50</t>
  </si>
  <si>
    <t>2,70-3,50</t>
  </si>
  <si>
    <t>2,00-2,50</t>
  </si>
  <si>
    <t>1,80-2,50</t>
  </si>
  <si>
    <t>1,80-2,20</t>
  </si>
  <si>
    <t>3,30-3,50</t>
  </si>
  <si>
    <t>5,10-5,80</t>
  </si>
  <si>
    <t>2,20-3,50</t>
  </si>
  <si>
    <t>4,00-5,40</t>
  </si>
  <si>
    <t>1,40-1,60</t>
  </si>
  <si>
    <t>1,20-1,30</t>
  </si>
  <si>
    <t>Adubo Foliar</t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</si>
  <si>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</t>
    </r>
    <r>
      <rPr>
        <b/>
        <sz val="10"/>
        <rFont val="Arial"/>
        <family val="2"/>
      </rPr>
      <t>Superfosfato Simples</t>
    </r>
  </si>
  <si>
    <t>MO</t>
  </si>
  <si>
    <t>Após o lançamento das primeiras folhas, irrigar com solução de uréia a 0,5% ou</t>
  </si>
  <si>
    <t xml:space="preserve">    0,3 kg de cloreto de potássio</t>
  </si>
  <si>
    <r>
      <t>kg/ha de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</si>
  <si>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</t>
    </r>
    <r>
      <rPr>
        <b/>
        <sz val="10"/>
        <rFont val="Arial"/>
        <family val="2"/>
      </rPr>
      <t>FTE</t>
    </r>
  </si>
  <si>
    <t>2,90-3,50</t>
  </si>
  <si>
    <t>0,12-0,25</t>
  </si>
  <si>
    <t>0,08-0,12</t>
  </si>
  <si>
    <t>0,18-0,27</t>
  </si>
  <si>
    <t>0,12-0,16</t>
  </si>
  <si>
    <t>0,20-0,30</t>
  </si>
  <si>
    <t>0,10-0,30</t>
  </si>
  <si>
    <t>0,14-0,25</t>
  </si>
  <si>
    <t>0,14-0,29</t>
  </si>
  <si>
    <t>0,40-0,60</t>
  </si>
  <si>
    <t>0,07-0,13</t>
  </si>
  <si>
    <t>0,40-0,70</t>
  </si>
  <si>
    <t>0,30-0,50</t>
  </si>
  <si>
    <t>0,25-0,50</t>
  </si>
  <si>
    <t>0,23-0,50</t>
  </si>
  <si>
    <t>0,30-1,20</t>
  </si>
  <si>
    <t>0,20-0,40</t>
  </si>
  <si>
    <t>0,30-0,80</t>
  </si>
  <si>
    <t>0,40-0,80</t>
  </si>
  <si>
    <t>0,30-0,70</t>
  </si>
  <si>
    <t>0,30-0,60</t>
  </si>
  <si>
    <t>0,08-0,11</t>
  </si>
  <si>
    <t>0,06-0,11</t>
  </si>
  <si>
    <t>0,20-0,50</t>
  </si>
  <si>
    <t>0,18-0,30</t>
  </si>
  <si>
    <t>0,18-0,25</t>
  </si>
  <si>
    <t>0,15-0,30</t>
  </si>
  <si>
    <t>0,12-0,15</t>
  </si>
  <si>
    <t>0,30-0,40</t>
  </si>
  <si>
    <t>0,10-0,12</t>
  </si>
  <si>
    <t>0,14-0,16</t>
  </si>
  <si>
    <t>0,16-0,25</t>
  </si>
  <si>
    <t>1,50-2,00</t>
  </si>
  <si>
    <t>3,00-5,40</t>
  </si>
  <si>
    <t>K2O</t>
  </si>
  <si>
    <t>% = dag/kg</t>
  </si>
  <si>
    <t>deci</t>
  </si>
  <si>
    <t>centi</t>
  </si>
  <si>
    <t>mili</t>
  </si>
  <si>
    <t>deca</t>
  </si>
  <si>
    <t>hecto</t>
  </si>
  <si>
    <t>d</t>
  </si>
  <si>
    <t>c</t>
  </si>
  <si>
    <t>da</t>
  </si>
  <si>
    <t>h</t>
  </si>
  <si>
    <t>k</t>
  </si>
  <si>
    <t>-</t>
  </si>
  <si>
    <t>Prefixo</t>
  </si>
  <si>
    <t>Significado</t>
  </si>
  <si>
    <t>g</t>
  </si>
  <si>
    <t>dag</t>
  </si>
  <si>
    <t>hg</t>
  </si>
  <si>
    <t>kg</t>
  </si>
  <si>
    <t>dg</t>
  </si>
  <si>
    <t>cg</t>
  </si>
  <si>
    <t>mg</t>
  </si>
  <si>
    <t>Medida</t>
  </si>
  <si>
    <t>km</t>
  </si>
  <si>
    <t>hm</t>
  </si>
  <si>
    <t>dam</t>
  </si>
  <si>
    <t>dm</t>
  </si>
  <si>
    <t>% de Mg</t>
  </si>
  <si>
    <t>% de S</t>
  </si>
  <si>
    <t>% de Zn</t>
  </si>
  <si>
    <t>% de B</t>
  </si>
  <si>
    <t>% de Cu</t>
  </si>
  <si>
    <t>% de Mo</t>
  </si>
  <si>
    <t>Quantidade formulado</t>
  </si>
  <si>
    <t xml:space="preserve">    Quantidade formulado</t>
  </si>
  <si>
    <t xml:space="preserve">Espaçamento (m x m): </t>
  </si>
  <si>
    <r>
      <t xml:space="preserve">        Dose de fertilizante:         </t>
    </r>
    <r>
      <rPr>
        <sz val="10"/>
        <rFont val="Arial"/>
        <family val="2"/>
      </rPr>
      <t>Número de parcelamentos</t>
    </r>
  </si>
  <si>
    <t>.............................................................</t>
  </si>
  <si>
    <t>Custo por saca beneficiada =</t>
  </si>
  <si>
    <t>Custo por sc beneficiada =</t>
  </si>
  <si>
    <t>Aplicações de</t>
  </si>
  <si>
    <t>aplicações de</t>
  </si>
  <si>
    <t>SS (positivo)</t>
  </si>
  <si>
    <t>calcário (g/cova) positivo</t>
  </si>
  <si>
    <t xml:space="preserve">  t/ha de calcário (Ler observação 1)</t>
  </si>
  <si>
    <t xml:space="preserve">Entre fileiras duplas </t>
  </si>
  <si>
    <t>Entre linhas:</t>
  </si>
  <si>
    <t>Entre plantas nas linhas:</t>
  </si>
  <si>
    <r>
      <t>L/m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  </t>
    </r>
    <r>
      <rPr>
        <b/>
        <sz val="10"/>
        <rFont val="Arial"/>
        <family val="2"/>
      </rPr>
      <t>Esterco bovino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</si>
  <si>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  </t>
    </r>
    <r>
      <rPr>
        <b/>
        <sz val="10"/>
        <rFont val="Arial"/>
        <family val="2"/>
      </rPr>
      <t>Superfosfato Simples</t>
    </r>
  </si>
  <si>
    <t>Micronutrientes</t>
  </si>
  <si>
    <t xml:space="preserve">0,20 m x 0,06 m </t>
  </si>
  <si>
    <t>Teores de Nutrientes dos Principais Fertilizantes</t>
  </si>
  <si>
    <t>Sulfato de amônio</t>
  </si>
  <si>
    <t>Uréia</t>
  </si>
  <si>
    <t>Nitrato da sódio</t>
  </si>
  <si>
    <t>Nitrato de cálcio</t>
  </si>
  <si>
    <t>Nitrato de amônio</t>
  </si>
  <si>
    <t>Cloreto de amônio</t>
  </si>
  <si>
    <t>Superfosfato simples</t>
  </si>
  <si>
    <t>Superfosfato triplo</t>
  </si>
  <si>
    <t>Fosfato monoamônico (MAP)</t>
  </si>
  <si>
    <t>Fosfato diamônico (DAP)</t>
  </si>
  <si>
    <t>aos 50 dias do plantio.</t>
  </si>
  <si>
    <t xml:space="preserve">Molibdênio </t>
  </si>
  <si>
    <t>Molibdato de amônio</t>
  </si>
  <si>
    <t>Adubação de Produção</t>
  </si>
  <si>
    <r>
      <t xml:space="preserve">P </t>
    </r>
    <r>
      <rPr>
        <sz val="8"/>
        <rFont val="Arial"/>
        <family val="2"/>
      </rPr>
      <t>(mg/dm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</si>
  <si>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K</t>
    </r>
    <r>
      <rPr>
        <sz val="8"/>
        <rFont val="Arial"/>
        <family val="2"/>
      </rPr>
      <t xml:space="preserve"> (mg/dm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</si>
  <si>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mg/dm</t>
    </r>
    <r>
      <rPr>
        <vertAlign val="superscript"/>
        <sz val="9"/>
        <rFont val="Arial"/>
        <family val="2"/>
      </rPr>
      <t>3</t>
    </r>
  </si>
  <si>
    <t>Molibdato de sódio</t>
  </si>
  <si>
    <t>% de N</t>
  </si>
  <si>
    <t>% de P2O5</t>
  </si>
  <si>
    <t>% de K2O</t>
  </si>
  <si>
    <t>% de Ca</t>
  </si>
  <si>
    <t>Cultura:</t>
  </si>
  <si>
    <t>Produtividade (t/ha):</t>
  </si>
  <si>
    <t>g/cova   de Superfosfato Simples</t>
  </si>
  <si>
    <t>kg/ha do formulado</t>
  </si>
  <si>
    <t>aplicações    de</t>
  </si>
  <si>
    <t xml:space="preserve">    Uma aplicação de</t>
  </si>
  <si>
    <t>t/ha calcario</t>
  </si>
  <si>
    <t>SS (sc/ha)</t>
  </si>
  <si>
    <t>Superfosfato simples(sc/ano)</t>
  </si>
  <si>
    <t>Suerfosfato simples (sc/ano)</t>
  </si>
  <si>
    <t>30 dias após início da brotação:</t>
  </si>
  <si>
    <t>45 dias após início da brotação:</t>
  </si>
  <si>
    <t>60 dias após início da brotação:</t>
  </si>
  <si>
    <t>80 dias após início da brotação:</t>
  </si>
  <si>
    <t>Produtividade esperada:</t>
  </si>
  <si>
    <t>Quant. por planta plantio:</t>
  </si>
  <si>
    <t>Quant. por planta cobert.:</t>
  </si>
  <si>
    <t>(Feijão-Vagem, Mandioquinha-Salsa, Gengibre, Taro)</t>
  </si>
  <si>
    <t xml:space="preserve">Eficiência de absorção de N </t>
  </si>
  <si>
    <t>Efic. Absor.</t>
  </si>
  <si>
    <t xml:space="preserve">Adubação de cobertura: </t>
  </si>
  <si>
    <t>Termofostato magnesiano</t>
  </si>
  <si>
    <t>Fosfato natural</t>
  </si>
  <si>
    <t>Fosfato natural parc. Acid.</t>
  </si>
  <si>
    <t>Hiperfostato</t>
  </si>
  <si>
    <t>Nitrogenados</t>
  </si>
  <si>
    <t>Fosfatados</t>
  </si>
  <si>
    <t>Potássicos</t>
  </si>
  <si>
    <t>Cloreto de potássio</t>
  </si>
  <si>
    <t>Sulfato de potássio</t>
  </si>
  <si>
    <t>Nitrato de potássio</t>
  </si>
  <si>
    <t xml:space="preserve">Cálcicos </t>
  </si>
  <si>
    <t>Cloreto de cálcio</t>
  </si>
  <si>
    <t>Magnesianos</t>
  </si>
  <si>
    <t>Carbonato de magnésio</t>
  </si>
  <si>
    <t>Óxido de magnésio</t>
  </si>
  <si>
    <t>Sulfato de magnésio</t>
  </si>
  <si>
    <t>Kieserita</t>
  </si>
  <si>
    <t>Sulforados</t>
  </si>
  <si>
    <t>Enxofre</t>
  </si>
  <si>
    <t>Sulfato de cálcio (gesso)</t>
  </si>
  <si>
    <t>Boro</t>
  </si>
  <si>
    <t>Bórax</t>
  </si>
  <si>
    <t>Ácido bórico</t>
  </si>
  <si>
    <t>FTE</t>
  </si>
  <si>
    <t>Zinco</t>
  </si>
  <si>
    <t>Sulfato de zinco</t>
  </si>
  <si>
    <t>Óxido de zinco</t>
  </si>
  <si>
    <t>Cloreto de zinco</t>
  </si>
  <si>
    <t>Nitrato de zinco</t>
  </si>
  <si>
    <t>Cobre</t>
  </si>
  <si>
    <t>Sulfato de cobre</t>
  </si>
  <si>
    <t>Cloreto cúprico</t>
  </si>
  <si>
    <t>Óxido cúprico</t>
  </si>
  <si>
    <t>Quantidade de P a ser aplicado ao solo</t>
  </si>
  <si>
    <t>Nível Crítico (Mehlich-1)</t>
  </si>
  <si>
    <t>Conteúdo de P no solo</t>
  </si>
  <si>
    <t>Potássio</t>
  </si>
  <si>
    <t>Demanda de K                         =</t>
  </si>
  <si>
    <t>Data:</t>
  </si>
  <si>
    <t>.............................................................................</t>
  </si>
  <si>
    <t xml:space="preserve">Produtor: </t>
  </si>
  <si>
    <t xml:space="preserve">  kg/ha de K</t>
  </si>
  <si>
    <t>Efic. Abs. de K planta               =</t>
  </si>
  <si>
    <t>Exig. K solo                              =</t>
  </si>
  <si>
    <t>Fósforo Remanescente  (P-rem)</t>
  </si>
  <si>
    <t>Fósforo Remanescente (P-rem)</t>
  </si>
  <si>
    <t xml:space="preserve">Taxa de rec. K Mehlich            = </t>
  </si>
  <si>
    <t>Aporte de K do Solo                 =</t>
  </si>
  <si>
    <t>Demanda de K</t>
  </si>
  <si>
    <t>NC de K solo (Meh.-1 )=</t>
  </si>
  <si>
    <t>K folha</t>
  </si>
  <si>
    <t>K ramo</t>
  </si>
  <si>
    <t>K caule</t>
  </si>
  <si>
    <t>K raiz</t>
  </si>
  <si>
    <t>K Biom. Veg.</t>
  </si>
  <si>
    <t xml:space="preserve"> K Grãos</t>
  </si>
  <si>
    <t>K Casca</t>
  </si>
  <si>
    <t>K Fruto</t>
  </si>
  <si>
    <t>K Biom. Tot.</t>
  </si>
  <si>
    <t xml:space="preserve">Eficiência de absorção de K </t>
  </si>
  <si>
    <t xml:space="preserve">Exigência de K no solo </t>
  </si>
  <si>
    <t>kg/ha de k</t>
  </si>
  <si>
    <t>Taxa de recuperação de K (Mehlich-1)</t>
  </si>
  <si>
    <t>P rec/ k aplic)</t>
  </si>
  <si>
    <t xml:space="preserve">Conteúdo de K no solo (- K sustentabilidade) </t>
  </si>
  <si>
    <t>mg/dm3 de k</t>
  </si>
  <si>
    <t>Aporte de K do Solo</t>
  </si>
  <si>
    <t>(kg/ha de K)</t>
  </si>
  <si>
    <t>Quantidade de K a ser aplicado ao solo</t>
  </si>
  <si>
    <t>kg/ha de K</t>
  </si>
  <si>
    <t>Ocultar</t>
  </si>
  <si>
    <t>Talhões:</t>
  </si>
  <si>
    <t>aos 20 dias da emergência das plântulas.</t>
  </si>
  <si>
    <t>aos 20 dias do plantio.</t>
  </si>
  <si>
    <t>g/cova   de</t>
  </si>
  <si>
    <t>Adubação de Produção:</t>
  </si>
  <si>
    <t>Fe</t>
  </si>
  <si>
    <t>Zn</t>
  </si>
  <si>
    <t>Cu</t>
  </si>
  <si>
    <t>Mn</t>
  </si>
  <si>
    <t>B</t>
  </si>
  <si>
    <t>Cafeeiro</t>
  </si>
  <si>
    <t>Frutíferas</t>
  </si>
  <si>
    <t>Citrus</t>
  </si>
  <si>
    <t>Olerícolas</t>
  </si>
  <si>
    <t>Abóbora</t>
  </si>
  <si>
    <t>Agrião</t>
  </si>
  <si>
    <t>Batata-doce</t>
  </si>
  <si>
    <t>Beringela</t>
  </si>
  <si>
    <t>Cebola</t>
  </si>
  <si>
    <t>Chicória</t>
  </si>
  <si>
    <t>Melancia</t>
  </si>
  <si>
    <t>Melão</t>
  </si>
  <si>
    <t>Nabo</t>
  </si>
  <si>
    <t>Rabanete</t>
  </si>
  <si>
    <t>Quantidade de Nutrientes:</t>
  </si>
  <si>
    <t>K - kg/ha</t>
  </si>
  <si>
    <t>&lt; 20</t>
  </si>
  <si>
    <t>20 - 30</t>
  </si>
  <si>
    <t>&gt; 60</t>
  </si>
  <si>
    <t xml:space="preserve">Sat. Bases </t>
  </si>
  <si>
    <t>Desbaste de frutos</t>
  </si>
  <si>
    <t xml:space="preserve">média da planta e dos dois lados da linha de café. </t>
  </si>
  <si>
    <t xml:space="preserve">(Alface, Almeirão, Salsa, Coentro, Rúcula e outras folhosas de ciclo curto) </t>
  </si>
  <si>
    <t>(Alho, Beterraba, Cenoura, Morango)</t>
  </si>
  <si>
    <t>(Abóbora Rasteira, Batata, Batata-Doce, Cará, Chuchu, Couve-Flor, Quiabo, Repolho)</t>
  </si>
  <si>
    <t>(Abóbora de Moita, Couve-Folha, Brócolis, Pepino, Pimentão, Tomate, Berinjela, Jiló)</t>
  </si>
  <si>
    <t>Materiais Orgânicos</t>
  </si>
  <si>
    <t>t/ha calc.</t>
  </si>
  <si>
    <t xml:space="preserve">Exigência de N no solo </t>
  </si>
  <si>
    <t xml:space="preserve">kg/ha </t>
  </si>
  <si>
    <t>Aporte de N do Solo</t>
  </si>
  <si>
    <t>(kg/ha) no solo</t>
  </si>
  <si>
    <t>Aporte</t>
  </si>
  <si>
    <t>Quantidade de N a ser aplicado ao solo</t>
  </si>
  <si>
    <t>Adubação por Cova:</t>
  </si>
  <si>
    <t>Adubação para a Cultura do Inhame</t>
  </si>
  <si>
    <t>aos 40 dias  do plantio.</t>
  </si>
  <si>
    <t>aos 60, 80, 100 dias  do plantio.</t>
  </si>
  <si>
    <t>Fósforo</t>
  </si>
  <si>
    <t xml:space="preserve">    700 L de solo (horizonte B)</t>
  </si>
  <si>
    <t xml:space="preserve">    300 L de esterco de gado ou 100 L de esterco de galinha</t>
  </si>
  <si>
    <t xml:space="preserve">    4 kg de superfosfato simples</t>
  </si>
  <si>
    <t xml:space="preserve">Matéria Org. </t>
  </si>
  <si>
    <t>mg/L</t>
  </si>
  <si>
    <t xml:space="preserve">Demanda de P                </t>
  </si>
  <si>
    <t xml:space="preserve">  kg/ha de P</t>
  </si>
  <si>
    <t xml:space="preserve">Efic. Abs. de P planta               </t>
  </si>
  <si>
    <t>Demanda de P</t>
  </si>
  <si>
    <t xml:space="preserve">Exig. P solo                              </t>
  </si>
  <si>
    <t xml:space="preserve">Taxa de rec. P Mehlich             </t>
  </si>
  <si>
    <t xml:space="preserve">  mg/dm3/mg/dm3</t>
  </si>
  <si>
    <t xml:space="preserve">Aporte de P do Solo                 </t>
  </si>
  <si>
    <t>P folha</t>
  </si>
  <si>
    <t>P ramo</t>
  </si>
  <si>
    <t>P caule</t>
  </si>
  <si>
    <t>P raiz</t>
  </si>
  <si>
    <t>P Biom. Veg.</t>
  </si>
  <si>
    <t>Nível Crítico de P solo (Meh.-1 )=</t>
  </si>
  <si>
    <t>mg/dm3</t>
  </si>
  <si>
    <t xml:space="preserve"> P Grãos</t>
  </si>
  <si>
    <t>P Casca</t>
  </si>
  <si>
    <t>P Fruto</t>
  </si>
  <si>
    <t>P Biom. Tot.</t>
  </si>
  <si>
    <t>Eficiência de absorção de P (Adulto)</t>
  </si>
  <si>
    <t xml:space="preserve">Exigência de P no solo </t>
  </si>
  <si>
    <t>kg/ha de P</t>
  </si>
  <si>
    <t>Taxa de recuperação de P (Mehlich-1)</t>
  </si>
  <si>
    <t>P rec/ P aplic)</t>
  </si>
  <si>
    <t>mg/dm3/mg/dm3</t>
  </si>
  <si>
    <t>mg/dm3 de P</t>
  </si>
  <si>
    <t>Aporte de P do Solo</t>
  </si>
  <si>
    <t>Aporte de P</t>
  </si>
  <si>
    <t>(kg/ha de P)</t>
  </si>
  <si>
    <t>20 % de P2O5, 12% de Ca, 7,5% de S, 3,5% de Mg e 0,1% de B</t>
  </si>
  <si>
    <t xml:space="preserve">Adubação de plantio: </t>
  </si>
  <si>
    <t>200 g de superfosfato simples</t>
  </si>
  <si>
    <t xml:space="preserve">kg/ha de P2O5 </t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</si>
  <si>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</t>
    </r>
  </si>
  <si>
    <t>As amostras devem ser acondicionadas em sacolas de papel, etiquetadas e remetidas ao</t>
  </si>
  <si>
    <t>laboratório no mesmo dia.</t>
  </si>
  <si>
    <t xml:space="preserve"> Deve ser realizada sob a copa das plantas, no local de aplicação dos fertilizantes.</t>
  </si>
  <si>
    <t xml:space="preserve"> A cada dois anos retirar também amostras das ruas do cafezal.</t>
  </si>
  <si>
    <t xml:space="preserve"> As amostras podem ser retiradas com trado ou com enxadão, a uma profundidade </t>
  </si>
  <si>
    <t xml:space="preserve"> três anos amostrar, também, na profundidade de 20 a 40 cm para avaliar a necessidade de gesso.</t>
  </si>
  <si>
    <t xml:space="preserve">                         </t>
  </si>
  <si>
    <t xml:space="preserve">  t/ha</t>
  </si>
  <si>
    <t>1,20-1,70</t>
  </si>
  <si>
    <t>1,30-3,00</t>
  </si>
  <si>
    <t>2,00-3,40</t>
  </si>
  <si>
    <t>2,50-4,50</t>
  </si>
  <si>
    <t>4,00-8,00</t>
  </si>
  <si>
    <t>5,00-8,00</t>
  </si>
  <si>
    <t>4,00-6,50</t>
  </si>
  <si>
    <t>3,10-4,50</t>
  </si>
  <si>
    <t>3,50-6,00</t>
  </si>
  <si>
    <t>2,00-4,00</t>
  </si>
  <si>
    <t>5,00-6,00</t>
  </si>
  <si>
    <t>2,00-5,00</t>
  </si>
  <si>
    <t>2,50-4,00</t>
  </si>
  <si>
    <t>Adubação de Plantio (por planta)</t>
  </si>
  <si>
    <t>Quant. por planta:</t>
  </si>
  <si>
    <t>Kg de Fert. Org.</t>
  </si>
  <si>
    <t>Recomendações:</t>
  </si>
  <si>
    <t>Adubação de produção</t>
  </si>
  <si>
    <t>Litros por planta de esterco de curral curtido ou</t>
  </si>
  <si>
    <t>g/planta de Superfosfato Simples</t>
  </si>
  <si>
    <t>10 dias após início da brotação:</t>
  </si>
  <si>
    <t xml:space="preserve">g/planta de </t>
  </si>
  <si>
    <t>P +</t>
  </si>
  <si>
    <t>K +</t>
  </si>
  <si>
    <t>kg/ha formulado</t>
  </si>
  <si>
    <t>N +</t>
  </si>
  <si>
    <t>cm              =</t>
  </si>
  <si>
    <t>P-MO</t>
  </si>
  <si>
    <t>kg/ha form. plantio</t>
  </si>
  <si>
    <t>kg/ha form. cobert.</t>
  </si>
  <si>
    <t>N-MO</t>
  </si>
  <si>
    <t>K-MO</t>
  </si>
  <si>
    <t>por mês</t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</si>
  <si>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 </t>
    </r>
    <r>
      <rPr>
        <b/>
        <sz val="10"/>
        <rFont val="Arial"/>
        <family val="2"/>
      </rPr>
      <t xml:space="preserve"> FTE</t>
    </r>
  </si>
  <si>
    <r>
      <t xml:space="preserve">2) </t>
    </r>
    <r>
      <rPr>
        <b/>
        <sz val="12"/>
        <rFont val="Arial"/>
        <family val="2"/>
      </rPr>
      <t>Adubação de segundo ano</t>
    </r>
  </si>
  <si>
    <r>
      <t xml:space="preserve">3) </t>
    </r>
    <r>
      <rPr>
        <b/>
        <sz val="12"/>
        <rFont val="Arial"/>
        <family val="2"/>
      </rPr>
      <t>Adubação de terceiro ano</t>
    </r>
  </si>
  <si>
    <r>
      <t xml:space="preserve">1) </t>
    </r>
    <r>
      <rPr>
        <b/>
        <sz val="12"/>
        <rFont val="Arial"/>
        <family val="2"/>
      </rPr>
      <t>Adubação de terceiro ano</t>
    </r>
  </si>
  <si>
    <r>
      <t xml:space="preserve">2) </t>
    </r>
    <r>
      <rPr>
        <b/>
        <sz val="12"/>
        <rFont val="Arial"/>
        <family val="2"/>
      </rPr>
      <t>Adubação de quarto ano</t>
    </r>
  </si>
  <si>
    <t>4,00-7,50</t>
  </si>
  <si>
    <t>1,43-1,84</t>
  </si>
  <si>
    <t>1,08-1,65</t>
  </si>
  <si>
    <t>1,70-3,00</t>
  </si>
  <si>
    <t>1,30-2,30</t>
  </si>
  <si>
    <t>1,00-1,60</t>
  </si>
  <si>
    <t>1,30-2,00</t>
  </si>
  <si>
    <t>1,70-3,50</t>
  </si>
  <si>
    <t>0,90-1,50</t>
  </si>
  <si>
    <t>1,70-2,50</t>
  </si>
  <si>
    <t>1,40-2,50</t>
  </si>
  <si>
    <t>1,00-1,20</t>
  </si>
  <si>
    <t>1,00-1,10</t>
  </si>
  <si>
    <t>1,00-1,70</t>
  </si>
  <si>
    <t>1,50-3,00</t>
  </si>
  <si>
    <t>0,8-1,20</t>
  </si>
  <si>
    <t>0,66-1,20</t>
  </si>
  <si>
    <t>3,00-4,90</t>
  </si>
  <si>
    <t>2,60-0,34</t>
  </si>
  <si>
    <t>1,70-2,70</t>
  </si>
  <si>
    <t>1,80-2,70</t>
  </si>
  <si>
    <t>1,30-1,80</t>
  </si>
  <si>
    <t>1,00-2,00</t>
  </si>
  <si>
    <t>0,60-1,20</t>
  </si>
  <si>
    <t>0,70-1,20</t>
  </si>
  <si>
    <t>1,00-2,50</t>
  </si>
  <si>
    <t>1,20-2,50</t>
  </si>
  <si>
    <t>2,00-3,50</t>
  </si>
  <si>
    <t>1,50-4,00</t>
  </si>
  <si>
    <t>1,50-3,50</t>
  </si>
  <si>
    <t>1,00-3,50</t>
  </si>
  <si>
    <t>3,50-4,50</t>
  </si>
  <si>
    <t>1,40-4,00</t>
  </si>
  <si>
    <t>0,4-1,02</t>
  </si>
  <si>
    <t>0,23-0,46</t>
  </si>
  <si>
    <t>1,20-2,00</t>
  </si>
  <si>
    <t>0,25-1,00</t>
  </si>
  <si>
    <t>0,80-1,20</t>
  </si>
  <si>
    <t>0,20-0,80</t>
  </si>
  <si>
    <t>5,00-5,50</t>
  </si>
  <si>
    <t>1,70-2,20</t>
  </si>
  <si>
    <t>0,75-0,85</t>
  </si>
  <si>
    <t>0,25-0,80</t>
  </si>
  <si>
    <t>0,25-0,40</t>
  </si>
  <si>
    <t>0,40-2,00</t>
  </si>
  <si>
    <t>0,25-6,00</t>
  </si>
  <si>
    <t>0,70-0,90</t>
  </si>
  <si>
    <t>0,15-0,25</t>
  </si>
  <si>
    <t>0,60-0,80</t>
  </si>
  <si>
    <t>0,20-0,60</t>
  </si>
  <si>
    <t>0,48-0,53</t>
  </si>
  <si>
    <t>0,50-1,00</t>
  </si>
  <si>
    <t>Utilizar Planilha da Cultura</t>
  </si>
  <si>
    <t>Abóbora Rasteira</t>
  </si>
  <si>
    <t>Abóbora de Moita</t>
  </si>
  <si>
    <t>Couve-Flor</t>
  </si>
  <si>
    <t>Feijão-Vagem</t>
  </si>
  <si>
    <t>Mandioquinha-Salsa</t>
  </si>
  <si>
    <t>Exigência em Nitrogênio Estimada para Hortaliças em Cultivo Orgânico</t>
  </si>
  <si>
    <t>Espaçamento (m x m)</t>
  </si>
  <si>
    <t>Capim Napier</t>
  </si>
  <si>
    <t>Palha de arroz</t>
  </si>
  <si>
    <t>Palha de milho</t>
  </si>
  <si>
    <t>Unidade</t>
  </si>
  <si>
    <t>dag/kg</t>
  </si>
  <si>
    <t>Mg</t>
  </si>
  <si>
    <t>Ca</t>
  </si>
  <si>
    <t>K</t>
  </si>
  <si>
    <t>mg/kg</t>
  </si>
  <si>
    <r>
      <t xml:space="preserve">CTC do solo (T) </t>
    </r>
    <r>
      <rPr>
        <sz val="8"/>
        <rFont val="Arial"/>
        <family val="2"/>
      </rPr>
      <t>(cmolc/dm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</si>
  <si>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N - MO</t>
  </si>
  <si>
    <t>t/ha calcário (calagem)</t>
  </si>
  <si>
    <t>t/ha calagem</t>
  </si>
  <si>
    <t>calagem t/ha</t>
  </si>
  <si>
    <t>aos  60 dias  do plantio.</t>
  </si>
  <si>
    <r>
      <t xml:space="preserve">ou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 L/cova de esterco bovino</t>
    </r>
  </si>
  <si>
    <t>sc/ talhão de Superfosfato simples</t>
  </si>
  <si>
    <t>sc/ talhão de formulado</t>
  </si>
  <si>
    <t>sc/ talhão de FTE (sc de 50 kg)</t>
  </si>
  <si>
    <t>Adubação de plantio:</t>
  </si>
  <si>
    <t>P</t>
  </si>
  <si>
    <t>Três aplicações de</t>
  </si>
  <si>
    <t>Superfosfato Simples</t>
  </si>
  <si>
    <t>m linear</t>
  </si>
  <si>
    <t>Quantidade de plantas/talhão:</t>
  </si>
  <si>
    <t>t/ha de calcário (Ler observação 1)</t>
  </si>
  <si>
    <t xml:space="preserve">Observação: </t>
  </si>
  <si>
    <t>Preço de venda por kg =</t>
  </si>
  <si>
    <t>Sup/Prof.</t>
  </si>
  <si>
    <t>t/ha de calcário</t>
  </si>
  <si>
    <t>Hortaliças</t>
  </si>
  <si>
    <t>Quantidade de N (kg/ha)</t>
  </si>
  <si>
    <t>kg/ha de k20</t>
  </si>
  <si>
    <t>kg do Fertilizante Orgânico</t>
  </si>
  <si>
    <t>...............................................................................</t>
  </si>
  <si>
    <t xml:space="preserve">       Análise do solo:</t>
  </si>
  <si>
    <t xml:space="preserve">       Exigência da cultura em Nitrogênio :</t>
  </si>
  <si>
    <t xml:space="preserve">     Espaçamento:</t>
  </si>
  <si>
    <t xml:space="preserve">        PRNT do calcário:</t>
  </si>
  <si>
    <t>(Mín. 5000)</t>
  </si>
  <si>
    <t>kg/ha de k2O</t>
  </si>
  <si>
    <t>(Para todo o ciclo da cultura)</t>
  </si>
  <si>
    <t>30 dias da emergência das plântulas</t>
  </si>
  <si>
    <t>5-25</t>
  </si>
  <si>
    <t>15-250</t>
  </si>
  <si>
    <t>0,25 x 0,10</t>
  </si>
  <si>
    <t>Fertirrigação:</t>
  </si>
  <si>
    <t>Quantidade de fertilizantes por aplicação:</t>
  </si>
  <si>
    <t>N+</t>
  </si>
  <si>
    <t>10 a 40</t>
  </si>
  <si>
    <t>40 a 60</t>
  </si>
  <si>
    <t>Método</t>
  </si>
  <si>
    <t>Cultura</t>
  </si>
  <si>
    <t>Textura</t>
  </si>
  <si>
    <t>Classificação</t>
  </si>
  <si>
    <t>Baixo</t>
  </si>
  <si>
    <t>Médio</t>
  </si>
  <si>
    <t>Alto</t>
  </si>
  <si>
    <t xml:space="preserve">                    </t>
  </si>
  <si>
    <t>Mehlich-1</t>
  </si>
  <si>
    <t>Perene</t>
  </si>
  <si>
    <r>
      <t>kg/ha de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</si>
  <si>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kg/ha de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</si>
  <si>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Cobertura:</t>
  </si>
  <si>
    <t xml:space="preserve">Plantio: </t>
  </si>
  <si>
    <t xml:space="preserve"> de 20 cm. Cada amostra deve ser composta por, no mínimo, 20 subamostras. A cada  </t>
  </si>
  <si>
    <t>.........................................................................</t>
  </si>
  <si>
    <t>sc/ talhão</t>
  </si>
  <si>
    <t>Formulado /aplicação</t>
  </si>
  <si>
    <t>Mamona</t>
  </si>
  <si>
    <t>Pimenta-do-reino</t>
  </si>
  <si>
    <t>Soja</t>
  </si>
  <si>
    <t>Sorgo</t>
  </si>
  <si>
    <t>Eucalipto</t>
  </si>
  <si>
    <t>Pinus</t>
  </si>
  <si>
    <t>2,90-3,20</t>
  </si>
  <si>
    <t>0,16-0,20</t>
  </si>
  <si>
    <t>2,22-2,50</t>
  </si>
  <si>
    <t>1,00-1,50</t>
  </si>
  <si>
    <t>0,40-0,45</t>
  </si>
  <si>
    <t>0,15-0,20</t>
  </si>
  <si>
    <t>90-180</t>
  </si>
  <si>
    <t>15-20</t>
  </si>
  <si>
    <t>8-16</t>
  </si>
  <si>
    <t>80-100</t>
  </si>
  <si>
    <t>50-80</t>
  </si>
  <si>
    <t>aos 30 dias da emergência.</t>
  </si>
  <si>
    <t>plantas/ha</t>
  </si>
  <si>
    <t>aos 30 dias do plantio.</t>
  </si>
  <si>
    <t>aos 55 dias da emergência.</t>
  </si>
  <si>
    <t>Espaçamento:</t>
  </si>
  <si>
    <t>400-600</t>
  </si>
  <si>
    <t>39-60</t>
  </si>
  <si>
    <t>100-250</t>
  </si>
  <si>
    <t>40-160</t>
  </si>
  <si>
    <t>20-60</t>
  </si>
  <si>
    <t>97-105</t>
  </si>
  <si>
    <t>30-35</t>
  </si>
  <si>
    <t>18-22</t>
  </si>
  <si>
    <t>67-73</t>
  </si>
  <si>
    <t>45-53</t>
  </si>
  <si>
    <t>60-200</t>
  </si>
  <si>
    <t>5-100</t>
  </si>
  <si>
    <t>25-60</t>
  </si>
  <si>
    <t>20-40</t>
  </si>
  <si>
    <t>6-15</t>
  </si>
  <si>
    <t>25-50</t>
  </si>
  <si>
    <t>50-150</t>
  </si>
  <si>
    <t>7-20</t>
  </si>
  <si>
    <t>30-60</t>
  </si>
  <si>
    <t>5-10</t>
  </si>
  <si>
    <t>30-250</t>
  </si>
  <si>
    <t>40-100</t>
  </si>
  <si>
    <t>40-250</t>
  </si>
  <si>
    <t>25-75</t>
  </si>
  <si>
    <t>50-300</t>
  </si>
  <si>
    <t>20-250</t>
  </si>
  <si>
    <t>7-60</t>
  </si>
  <si>
    <t>70-200</t>
  </si>
  <si>
    <t>20-100</t>
  </si>
  <si>
    <t>40-80</t>
  </si>
  <si>
    <t>70-300</t>
  </si>
  <si>
    <t>35-200</t>
  </si>
  <si>
    <t>25-200</t>
  </si>
  <si>
    <t>60-300</t>
  </si>
  <si>
    <t>10-30</t>
  </si>
  <si>
    <t>30-80</t>
  </si>
  <si>
    <t>40-150</t>
  </si>
  <si>
    <t xml:space="preserve">  t/ha (Ler observação 4)</t>
  </si>
  <si>
    <t>K no formulado 3</t>
  </si>
  <si>
    <t>Adubações de cobertura (a 1° após 15 dias do plantio e as demais mensalmente)</t>
  </si>
  <si>
    <t>Adubação por m de sulco:</t>
  </si>
  <si>
    <t>g/m de</t>
  </si>
  <si>
    <t xml:space="preserve">     </t>
  </si>
  <si>
    <t>Alho</t>
  </si>
  <si>
    <t>Ameixa</t>
  </si>
  <si>
    <t>&lt; 10</t>
  </si>
  <si>
    <t>&gt; 10</t>
  </si>
  <si>
    <t>&gt; 20</t>
  </si>
  <si>
    <t>&gt; 30</t>
  </si>
  <si>
    <t>Anual</t>
  </si>
  <si>
    <t>&lt; 60</t>
  </si>
  <si>
    <t>20 - 40</t>
  </si>
  <si>
    <t>60 - 80</t>
  </si>
  <si>
    <t>&gt; 40</t>
  </si>
  <si>
    <t>&gt; 80</t>
  </si>
  <si>
    <t>Hortaliça</t>
  </si>
  <si>
    <t>&lt; 30</t>
  </si>
  <si>
    <t>&lt; 100</t>
  </si>
  <si>
    <t>30 - 60</t>
  </si>
  <si>
    <t>60 - 100</t>
  </si>
  <si>
    <t>100 - 150</t>
  </si>
  <si>
    <t>&gt; 100</t>
  </si>
  <si>
    <t>&gt; 150</t>
  </si>
  <si>
    <t>5 a 10</t>
  </si>
  <si>
    <t>10 a 20</t>
  </si>
  <si>
    <t xml:space="preserve"> 0 a 10</t>
  </si>
  <si>
    <t xml:space="preserve">  Potássio (K)      </t>
  </si>
  <si>
    <t>Perene/Anual</t>
  </si>
  <si>
    <t>60 - 150</t>
  </si>
  <si>
    <t>&lt; 80</t>
  </si>
  <si>
    <t>80 - 200</t>
  </si>
  <si>
    <t>&gt; 200</t>
  </si>
  <si>
    <t>Cálcio (Ca)</t>
  </si>
  <si>
    <t>&lt; 1,5</t>
  </si>
  <si>
    <t>&gt; 4,0</t>
  </si>
  <si>
    <t>Magnésio (Mg)</t>
  </si>
  <si>
    <t>&gt; 1,0</t>
  </si>
  <si>
    <t>Alumínio (Al)</t>
  </si>
  <si>
    <t>&lt; 0,3</t>
  </si>
  <si>
    <t>Enxofre (S)</t>
  </si>
  <si>
    <t>5,0 - 10</t>
  </si>
  <si>
    <t>aos 15 dias após o transplantio.</t>
  </si>
  <si>
    <t>aos 30 dias após o transplantio.</t>
  </si>
  <si>
    <t>aos 50 dias após o transplantio.</t>
  </si>
  <si>
    <t>ou 2 litros esterco bovino</t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</si>
  <si>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   </t>
    </r>
    <r>
      <rPr>
        <b/>
        <sz val="10"/>
        <rFont val="Arial"/>
        <family val="2"/>
      </rPr>
      <t>Superfosfato Simples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</si>
  <si>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  </t>
    </r>
    <r>
      <rPr>
        <b/>
        <sz val="10"/>
        <rFont val="Arial"/>
        <family val="2"/>
      </rPr>
      <t xml:space="preserve"> FTE</t>
    </r>
  </si>
  <si>
    <r>
      <t>g/m</t>
    </r>
    <r>
      <rPr>
        <vertAlign val="superscript"/>
        <sz val="10"/>
        <rFont val="Arial"/>
        <family val="2"/>
      </rPr>
      <t xml:space="preserve">2  </t>
    </r>
    <r>
      <rPr>
        <sz val="10"/>
        <rFont val="Arial"/>
        <family val="2"/>
      </rPr>
      <t xml:space="preserve"> de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</si>
  <si>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</t>
    </r>
  </si>
  <si>
    <r>
      <t>L/m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</t>
    </r>
  </si>
  <si>
    <t>Esterco bovino</t>
  </si>
  <si>
    <t>T/ha calc</t>
  </si>
  <si>
    <t>Múltiplos e Submúltiplos das Unidades</t>
  </si>
  <si>
    <r>
      <t xml:space="preserve">g/m de sulco de  </t>
    </r>
    <r>
      <rPr>
        <b/>
        <sz val="10"/>
        <rFont val="Arial"/>
        <family val="2"/>
      </rPr>
      <t>Superfosfato Simples</t>
    </r>
  </si>
  <si>
    <r>
      <t xml:space="preserve">g/m de sulco de  </t>
    </r>
    <r>
      <rPr>
        <b/>
        <sz val="10"/>
        <rFont val="Arial"/>
        <family val="2"/>
      </rPr>
      <t>FTE</t>
    </r>
  </si>
  <si>
    <r>
      <t xml:space="preserve">g/cova de  </t>
    </r>
    <r>
      <rPr>
        <b/>
        <sz val="10"/>
        <rFont val="Arial"/>
        <family val="2"/>
      </rPr>
      <t>Superfosfato Simples</t>
    </r>
  </si>
  <si>
    <t>......................................................</t>
  </si>
  <si>
    <t>aos 7 dias do plantio.</t>
  </si>
  <si>
    <t>Salsa</t>
  </si>
  <si>
    <t>15 cm x 10 cm</t>
  </si>
  <si>
    <t>Cebolinha</t>
  </si>
  <si>
    <t>a cada 15 dias</t>
  </si>
  <si>
    <r>
      <t>P</t>
    </r>
    <r>
      <rPr>
        <sz val="9"/>
        <rFont val="Arial"/>
        <family val="2"/>
      </rPr>
      <t xml:space="preserve"> (Mehlich-1)</t>
    </r>
  </si>
  <si>
    <r>
      <t xml:space="preserve">K </t>
    </r>
    <r>
      <rPr>
        <sz val="9"/>
        <rFont val="Arial"/>
        <family val="2"/>
      </rPr>
      <t>(Mehlich-1)</t>
    </r>
  </si>
  <si>
    <t>Produtor:</t>
  </si>
  <si>
    <r>
      <t xml:space="preserve">g/m de sulco de </t>
    </r>
    <r>
      <rPr>
        <b/>
        <sz val="10"/>
        <rFont val="Arial"/>
        <family val="2"/>
      </rPr>
      <t>Superfosfato Simples</t>
    </r>
  </si>
  <si>
    <r>
      <t xml:space="preserve">g/m de sulco de </t>
    </r>
    <r>
      <rPr>
        <b/>
        <sz val="10"/>
        <rFont val="Arial"/>
        <family val="2"/>
      </rPr>
      <t>FTE</t>
    </r>
  </si>
  <si>
    <r>
      <t xml:space="preserve">g/cova de </t>
    </r>
    <r>
      <rPr>
        <b/>
        <sz val="10"/>
        <rFont val="Arial"/>
        <family val="2"/>
      </rPr>
      <t>Superfosfato Simples</t>
    </r>
  </si>
  <si>
    <r>
      <t xml:space="preserve">g/cova de </t>
    </r>
    <r>
      <rPr>
        <b/>
        <sz val="10"/>
        <rFont val="Arial"/>
        <family val="2"/>
      </rPr>
      <t>FTE</t>
    </r>
  </si>
  <si>
    <r>
      <t xml:space="preserve">g/cova de  </t>
    </r>
    <r>
      <rPr>
        <b/>
        <sz val="10"/>
        <rFont val="Arial"/>
        <family val="2"/>
      </rPr>
      <t>FTE</t>
    </r>
  </si>
  <si>
    <t>1º Adubação de cobertura:</t>
  </si>
  <si>
    <t>2º Adubação de cobertura:</t>
  </si>
  <si>
    <t>30-200</t>
  </si>
  <si>
    <t>4-15</t>
  </si>
  <si>
    <t>25-250</t>
  </si>
  <si>
    <t>20-200</t>
  </si>
  <si>
    <t>11-25</t>
  </si>
  <si>
    <t>70-250</t>
  </si>
  <si>
    <t>10-15</t>
  </si>
  <si>
    <t>30-300</t>
  </si>
  <si>
    <t>35-100</t>
  </si>
  <si>
    <t>40-300</t>
  </si>
  <si>
    <t>6-25</t>
  </si>
  <si>
    <t>25-125</t>
  </si>
  <si>
    <t>40-200</t>
  </si>
  <si>
    <t>8-20</t>
  </si>
  <si>
    <t>100-300</t>
  </si>
  <si>
    <t>100-150</t>
  </si>
  <si>
    <t>20-25</t>
  </si>
  <si>
    <t>7-10</t>
  </si>
  <si>
    <t>150-200</t>
  </si>
  <si>
    <t>25-30</t>
  </si>
  <si>
    <t>3-5</t>
  </si>
  <si>
    <t>200-300</t>
  </si>
  <si>
    <t>aos 40 e 60 dias  da emergência.</t>
  </si>
  <si>
    <r>
      <t>CTC do solo</t>
    </r>
    <r>
      <rPr>
        <sz val="8"/>
        <rFont val="Arial"/>
        <family val="2"/>
      </rPr>
      <t>(cmolc/dm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</si>
  <si>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 xml:space="preserve">    2 kg de calcário dolomítico</t>
  </si>
  <si>
    <t xml:space="preserve">    50 g de FTE</t>
  </si>
  <si>
    <t>sulfato de amônio a 1%. Logo após, lavar as folhas com água pura.</t>
  </si>
  <si>
    <t>Adubação nitrogenada em cobertura.</t>
  </si>
  <si>
    <t xml:space="preserve">        Calagem:</t>
  </si>
  <si>
    <t>Com adicional/cx</t>
  </si>
  <si>
    <t>Gengibre</t>
  </si>
  <si>
    <t>Café Arábica  -  Informações Agronômicas</t>
  </si>
  <si>
    <t>Características</t>
  </si>
  <si>
    <t>Linhagem</t>
  </si>
  <si>
    <t>Variedade</t>
  </si>
  <si>
    <t>Ferrugem</t>
  </si>
  <si>
    <t>Catuaí Vermelho</t>
  </si>
  <si>
    <t>IAC 44</t>
  </si>
  <si>
    <t>IAC 81</t>
  </si>
  <si>
    <t>IAC 99</t>
  </si>
  <si>
    <t>IAC 144</t>
  </si>
  <si>
    <t>Porte</t>
  </si>
  <si>
    <t>Suscetível</t>
  </si>
  <si>
    <t>Cor do Fruto</t>
  </si>
  <si>
    <t>Vermelho</t>
  </si>
  <si>
    <t>Maturação</t>
  </si>
  <si>
    <t>Ampla adaptação</t>
  </si>
  <si>
    <t>Pode ser plantado na maioria das Regiões</t>
  </si>
  <si>
    <t>Alta produtividade</t>
  </si>
  <si>
    <t>Altitude: 450 m a 1200 m</t>
  </si>
  <si>
    <t>Catuaí Amarelo</t>
  </si>
  <si>
    <t>IAC 62</t>
  </si>
  <si>
    <t>IAC 86</t>
  </si>
  <si>
    <t>Amarelo</t>
  </si>
  <si>
    <t>Maturação desuniforme</t>
  </si>
  <si>
    <t>Apresenta bienalidade</t>
  </si>
  <si>
    <t>Mundo Novo</t>
  </si>
  <si>
    <t>IAC 376-4</t>
  </si>
  <si>
    <t>Grãos grandes: Peneira média 17</t>
  </si>
  <si>
    <t>Maturação mais uniforme que o Catuaí</t>
  </si>
  <si>
    <t>Icatu Precoce</t>
  </si>
  <si>
    <t>IAC 3282</t>
  </si>
  <si>
    <t>Moderadamente</t>
  </si>
  <si>
    <t>Tolerante</t>
  </si>
  <si>
    <t>Precoce</t>
  </si>
  <si>
    <t>Grãos: Peneira média 16</t>
  </si>
  <si>
    <t>Frutos maduros ficam mais aderidos às plantas</t>
  </si>
  <si>
    <t>Iapar</t>
  </si>
  <si>
    <t>Resistente</t>
  </si>
  <si>
    <t>Exige maior fertilidade do solo</t>
  </si>
  <si>
    <t>Indicada para Regiões de maior altitude e chuvosas</t>
  </si>
  <si>
    <t>Recomendada para plantio adensado e superadensado</t>
  </si>
  <si>
    <t>Altitude: Acima de  900 m</t>
  </si>
  <si>
    <t>Brotos de cor bronze</t>
  </si>
  <si>
    <t>Grãos: Peneira média acima de16</t>
  </si>
  <si>
    <t>Obatã</t>
  </si>
  <si>
    <t>IAC 1669-20</t>
  </si>
  <si>
    <t>Média-</t>
  </si>
  <si>
    <t>Tardia</t>
  </si>
  <si>
    <t>Produção superior ao Catuaí Vermelho</t>
  </si>
  <si>
    <t>Folha larga e internódios curtos</t>
  </si>
  <si>
    <t>Frutos grandes com peneira média 17</t>
  </si>
  <si>
    <t>Qualidade de bebida muito boa</t>
  </si>
  <si>
    <t>Exige fertilidade do solo</t>
  </si>
  <si>
    <t>Tupi</t>
  </si>
  <si>
    <t>IAC 1669-33</t>
  </si>
  <si>
    <t>Alta produção</t>
  </si>
  <si>
    <t>Elevada adaptação</t>
  </si>
  <si>
    <t>Resistente ao nematóide Meloidogyne exígua</t>
  </si>
  <si>
    <t>Folhas novas com coloração bronze</t>
  </si>
  <si>
    <t>Frutos grandes com peneira acima de 17</t>
  </si>
  <si>
    <t>Porte baixo</t>
  </si>
  <si>
    <t>Maturação média a precoce</t>
  </si>
  <si>
    <t>Plantio adensado</t>
  </si>
  <si>
    <t>Exige fertilidade do solo e clima ameno</t>
  </si>
  <si>
    <t>Rubi</t>
  </si>
  <si>
    <t>MG 1192</t>
  </si>
  <si>
    <t>Frutos com peneira em torno de 17</t>
  </si>
  <si>
    <t>Topázio MG</t>
  </si>
  <si>
    <t>MG 1189</t>
  </si>
  <si>
    <t>MG 1190</t>
  </si>
  <si>
    <t>Katipó</t>
  </si>
  <si>
    <t>245-3-7</t>
  </si>
  <si>
    <t>Boa produtividade</t>
  </si>
  <si>
    <t>Oeiras</t>
  </si>
  <si>
    <t>MG 6851</t>
  </si>
  <si>
    <t>Produtividade média elevada</t>
  </si>
  <si>
    <t xml:space="preserve">Maturação média </t>
  </si>
  <si>
    <t>Paraíso</t>
  </si>
  <si>
    <t>MG H419-1</t>
  </si>
  <si>
    <t>Produtividade elevada</t>
  </si>
  <si>
    <t>Folhas novas com coloração verde</t>
  </si>
  <si>
    <t>Frutos com peneira em torno de 16</t>
  </si>
  <si>
    <t>Níveis de Densidade:</t>
  </si>
  <si>
    <r>
      <rPr>
        <b/>
        <sz val="11"/>
        <rFont val="Arial"/>
        <family val="2"/>
      </rPr>
      <t>Tradicional</t>
    </r>
    <r>
      <rPr>
        <sz val="11"/>
        <rFont val="Arial"/>
        <family val="2"/>
      </rPr>
      <t>: Menos que 3.000 plantas por hectare</t>
    </r>
  </si>
  <si>
    <r>
      <rPr>
        <b/>
        <sz val="11"/>
        <rFont val="Arial"/>
        <family val="2"/>
      </rPr>
      <t>Adensado:</t>
    </r>
    <r>
      <rPr>
        <sz val="11"/>
        <rFont val="Arial"/>
        <family val="2"/>
      </rPr>
      <t xml:space="preserve"> De 3.000 a 7.000 plantas por hectare</t>
    </r>
  </si>
  <si>
    <r>
      <rPr>
        <b/>
        <sz val="11"/>
        <rFont val="Arial"/>
        <family val="2"/>
      </rPr>
      <t>Superadensado</t>
    </r>
    <r>
      <rPr>
        <sz val="11"/>
        <rFont val="Arial"/>
        <family val="2"/>
      </rPr>
      <t>: Mais que 7.000 plantas por hectare</t>
    </r>
  </si>
  <si>
    <t xml:space="preserve">Principais Pragas: </t>
  </si>
  <si>
    <t>ser realizado quando o nível populacional for acima de 5%. A melhor forma de controle da praga é a redução de sua população inicial através da colheita</t>
  </si>
  <si>
    <t>bem feita e do repasse dos frutos remanescentes no chão ou nas plantas.</t>
  </si>
  <si>
    <r>
      <rPr>
        <b/>
        <sz val="11"/>
        <rFont val="Arial"/>
        <family val="2"/>
      </rPr>
      <t>Broca-do-café:</t>
    </r>
    <r>
      <rPr>
        <sz val="11"/>
        <rFont val="Arial"/>
        <family val="2"/>
      </rPr>
      <t xml:space="preserve"> Influenciada por fatores climáticos. Maior incidência em plantios adensados. Deve ser monitorado por amostragem. O controle químico deve </t>
    </r>
  </si>
  <si>
    <t>O controle químico deve ser realizado quando houver mais de 30% de folhas com presença de "minas vivas".</t>
  </si>
  <si>
    <r>
      <rPr>
        <b/>
        <sz val="11"/>
        <rFont val="Arial"/>
        <family val="2"/>
      </rPr>
      <t>Bicho-Mineiro</t>
    </r>
    <r>
      <rPr>
        <sz val="11"/>
        <rFont val="Arial"/>
        <family val="2"/>
      </rPr>
      <t xml:space="preserve">: Maior ocorrência em períodos mais secos principalmente em veranicos de início de ano. Chuvas intensa diminuem sua incidência e dano. </t>
    </r>
  </si>
  <si>
    <t>É disseminado pelo vento. Causa queda das folhas, principalmente em lavouras em formação. Lavouras adultas são pouco afetadas.</t>
  </si>
  <si>
    <r>
      <rPr>
        <b/>
        <sz val="11"/>
        <rFont val="Arial"/>
        <family val="2"/>
      </rPr>
      <t>Ácaro-Vermelho:</t>
    </r>
    <r>
      <rPr>
        <sz val="11"/>
        <rFont val="Arial"/>
        <family val="2"/>
      </rPr>
      <t xml:space="preserve"> Ocorre em períodos secos e quentes como veranicos de início de ano. Ocorre em reboleiras, principalmente próximo às estradas empoeiradas.</t>
    </r>
  </si>
  <si>
    <r>
      <rPr>
        <b/>
        <sz val="11"/>
        <rFont val="Arial"/>
        <family val="2"/>
      </rPr>
      <t>Ácaro-Branco</t>
    </r>
    <r>
      <rPr>
        <sz val="11"/>
        <rFont val="Arial"/>
        <family val="2"/>
      </rPr>
      <t>: Causa o enrolamento e mau desenvolvimento das folhas. Pode ocorrer em viveiro com elevada umidade. Não causa problemas em labouras adultas.</t>
    </r>
  </si>
  <si>
    <t>A intensa presença de formigas é um indicativo da presença da cochonilha.</t>
  </si>
  <si>
    <r>
      <rPr>
        <b/>
        <sz val="11"/>
        <rFont val="Arial"/>
        <family val="2"/>
      </rPr>
      <t>Cochonilha da raiz</t>
    </r>
    <r>
      <rPr>
        <sz val="11"/>
        <rFont val="Arial"/>
        <family val="2"/>
      </rPr>
      <t>: Sério problema na formação de lavouras em áreas infestadas. Mudas são suscetíveis e plantas adultas são tolerantes à infestação dessa cochonilha.</t>
    </r>
  </si>
  <si>
    <t>Recomenda-se não realizar a imediata renovação das lavouras nas áreas infestadas.</t>
  </si>
  <si>
    <r>
      <rPr>
        <b/>
        <sz val="11"/>
        <rFont val="Arial"/>
        <family val="2"/>
      </rPr>
      <t>Mosca-das-Raízes:</t>
    </r>
    <r>
      <rPr>
        <sz val="11"/>
        <rFont val="Arial"/>
        <family val="2"/>
      </rPr>
      <t xml:space="preserve"> Sério problema na formação de lavouras em áreas infestadas. As larvas se alimentam das raízes do cafeeiro e de raízes em decomposição. </t>
    </r>
  </si>
  <si>
    <t xml:space="preserve">infestadas sem a necessidade de utilização de produtos químicos. A infestação deve ser monitorada.  </t>
  </si>
  <si>
    <r>
      <rPr>
        <b/>
        <sz val="11"/>
        <rFont val="Arial"/>
        <family val="2"/>
      </rPr>
      <t>Cigarra do cafeeiro</t>
    </r>
    <r>
      <rPr>
        <sz val="11"/>
        <rFont val="Arial"/>
        <family val="2"/>
      </rPr>
      <t>. Causa grandes prejuízos em lavouras adultas. Não sobrevivem em áreas nas quais se arrancou o café. Pode-se proceder ao replantio em áreas</t>
    </r>
  </si>
  <si>
    <t xml:space="preserve">Principais Doenças: </t>
  </si>
  <si>
    <r>
      <rPr>
        <b/>
        <sz val="11"/>
        <rFont val="Arial"/>
        <family val="2"/>
      </rPr>
      <t xml:space="preserve">Ferrugem: </t>
    </r>
    <r>
      <rPr>
        <sz val="11"/>
        <rFont val="Arial"/>
        <family val="2"/>
      </rPr>
      <t xml:space="preserve">Maior incidência em lavouras adensadas. O monitoramento deve ser iniciado em dezembro. Quando possível, optar por cultivares resitentes como IAPAR 59,  </t>
    </r>
  </si>
  <si>
    <t>Oeiras, Icatú Precoce, Obatã, Tupi e Paraíso. Existem diversos fungicidas recomendados para o controle devendo estes estarem cadastrados no IDAF.</t>
  </si>
  <si>
    <r>
      <rPr>
        <b/>
        <sz val="11"/>
        <rFont val="Arial"/>
        <family val="2"/>
      </rPr>
      <t>Cercosporiose:</t>
    </r>
    <r>
      <rPr>
        <sz val="11"/>
        <rFont val="Arial"/>
        <family val="2"/>
      </rPr>
      <t xml:space="preserve"> Maior ocorrência em viveiros e lavouras mal nutridas. Adubações equilibradas reduzem a sua ocorrência.</t>
    </r>
  </si>
  <si>
    <t xml:space="preserve">Ocorre em áreas de altitude com presença de ventos fortes associadas com alta umidade. Quebra-ventos reduzem sua incidência. Esta doença também pode incidir </t>
  </si>
  <si>
    <t>nas mudas em viveiros quando há excesso de água e de adubação nitrogenada.</t>
  </si>
  <si>
    <r>
      <rPr>
        <b/>
        <sz val="11"/>
        <rFont val="Arial"/>
        <family val="2"/>
      </rPr>
      <t>Ascoquita/Phoma:</t>
    </r>
    <r>
      <rPr>
        <sz val="11"/>
        <rFont val="Arial"/>
        <family val="2"/>
      </rPr>
      <t xml:space="preserve"> Causam manchas nas folhas e seca de ponteiros (as vezes confundida com seca de ponteiros causada por excesso de carga e falta de nutrição).</t>
    </r>
  </si>
  <si>
    <r>
      <rPr>
        <b/>
        <sz val="11"/>
        <rFont val="Arial"/>
        <family val="2"/>
      </rPr>
      <t>Roseliniose:</t>
    </r>
    <r>
      <rPr>
        <sz val="11"/>
        <rFont val="Arial"/>
        <family val="2"/>
      </rPr>
      <t xml:space="preserve"> Ocorre em áreas com muita matéria orgânica não decomposta e inicia-se em reboleiras.</t>
    </r>
  </si>
  <si>
    <t>Meloidogyne exigua.</t>
  </si>
  <si>
    <r>
      <rPr>
        <b/>
        <sz val="11"/>
        <rFont val="Arial"/>
        <family val="2"/>
      </rPr>
      <t>Nematóide:</t>
    </r>
    <r>
      <rPr>
        <sz val="11"/>
        <rFont val="Arial"/>
        <family val="2"/>
      </rPr>
      <t xml:space="preserve"> A espécie </t>
    </r>
    <r>
      <rPr>
        <i/>
        <sz val="11"/>
        <rFont val="Arial"/>
        <family val="2"/>
      </rPr>
      <t>Meloidogyne exigua</t>
    </r>
    <r>
      <rPr>
        <sz val="11"/>
        <rFont val="Arial"/>
        <family val="2"/>
      </rPr>
      <t xml:space="preserve"> está presente em todas as áreas do ES, com maior ou menor intensidade. Outras espécies como </t>
    </r>
    <r>
      <rPr>
        <i/>
        <sz val="11"/>
        <rFont val="Arial"/>
        <family val="2"/>
      </rPr>
      <t>M. incognita, M. paranaensis</t>
    </r>
    <r>
      <rPr>
        <sz val="11"/>
        <rFont val="Arial"/>
        <family val="2"/>
      </rPr>
      <t xml:space="preserve"> e</t>
    </r>
  </si>
  <si>
    <r>
      <rPr>
        <i/>
        <sz val="11"/>
        <rFont val="Arial"/>
        <family val="2"/>
      </rPr>
      <t>M. coffeicola</t>
    </r>
    <r>
      <rPr>
        <sz val="11"/>
        <rFont val="Arial"/>
        <family val="2"/>
      </rPr>
      <t xml:space="preserve"> são extremamente danosos às plantas mas ainda não foram encontradas em áreas de café arábica no ES. A cultiva IAPAR 59 apresenta resisência ao</t>
    </r>
  </si>
  <si>
    <r>
      <rPr>
        <b/>
        <sz val="11"/>
        <color theme="9" tint="-0.499984740745262"/>
        <rFont val="Arial"/>
        <family val="2"/>
      </rPr>
      <t>Espaçamentos mais comuns no ES:</t>
    </r>
    <r>
      <rPr>
        <sz val="11"/>
        <rFont val="Arial"/>
        <family val="2"/>
      </rPr>
      <t xml:space="preserve"> 2.5 x 1.0 m ; 2.0 x 1.0 m; 2.0 x 0.7 m; 2.5 x 0.7 m; 3.0 x 0.5</t>
    </r>
  </si>
  <si>
    <r>
      <rPr>
        <b/>
        <sz val="11"/>
        <color theme="9" tint="-0.499984740745262"/>
        <rFont val="Arial"/>
        <family val="2"/>
      </rPr>
      <t xml:space="preserve">OBS: </t>
    </r>
    <r>
      <rPr>
        <sz val="11"/>
        <rFont val="Arial"/>
        <family val="2"/>
      </rPr>
      <t>Dados obtidos na Circular Técnica 05-I (Incaper)</t>
    </r>
  </si>
  <si>
    <t>Café Conilon  -  Informações Agronômicas</t>
  </si>
  <si>
    <r>
      <rPr>
        <b/>
        <sz val="11"/>
        <color theme="9" tint="-0.499984740745262"/>
        <rFont val="Arial"/>
        <family val="2"/>
      </rPr>
      <t>Espaçamentos mais comuns no ES:</t>
    </r>
    <r>
      <rPr>
        <sz val="11"/>
        <rFont val="Arial"/>
        <family val="2"/>
      </rPr>
      <t xml:space="preserve">  2.5 x 1.0 m ; 2.0 x 1.0 m; 2.0 x 0.7 m; 2.5 x 0.7 m; 3.0 x 0.5</t>
    </r>
  </si>
  <si>
    <t>Variedades recomendadas para o Espírito Santo</t>
  </si>
  <si>
    <t>Quantidade formulado/talhão/ano</t>
  </si>
  <si>
    <t xml:space="preserve">t/ha de calcário </t>
  </si>
  <si>
    <t>Quantidade dos insumos (referente à 1° opção):</t>
  </si>
  <si>
    <t>Lichia</t>
  </si>
  <si>
    <t>1,50-1,80</t>
  </si>
  <si>
    <t>0,14-0,22</t>
  </si>
  <si>
    <t>0,70-1,10</t>
  </si>
  <si>
    <t>15-30</t>
  </si>
  <si>
    <t xml:space="preserve">  Adubação de cobertura:</t>
  </si>
  <si>
    <t xml:space="preserve">  Adubação de plantio:</t>
  </si>
  <si>
    <t>Litros por planta de esterco de galinha</t>
  </si>
  <si>
    <t>kg/ha fromulado - plantio</t>
  </si>
  <si>
    <t>kg/ha fromulado - Cobertura</t>
  </si>
  <si>
    <t>kg/planta</t>
  </si>
  <si>
    <t>30 - 90</t>
  </si>
  <si>
    <t>&gt; 90</t>
  </si>
  <si>
    <t>Na/CTC x 100</t>
  </si>
  <si>
    <t xml:space="preserve">Índice sat. Na (ISNa) </t>
  </si>
  <si>
    <t>&gt; 15</t>
  </si>
  <si>
    <t>&lt; 5</t>
  </si>
  <si>
    <t xml:space="preserve"> 5 - 15</t>
  </si>
  <si>
    <t xml:space="preserve">Teor de K do solo (Mehlich -1) </t>
  </si>
  <si>
    <t xml:space="preserve">CTC do solo </t>
  </si>
  <si>
    <t xml:space="preserve">Teor de K na ARC </t>
  </si>
  <si>
    <t>% de K na CTC</t>
  </si>
  <si>
    <t>Dose de K para atingir 5% da CTC</t>
  </si>
  <si>
    <t>Dose de ARC a ser aplicada ao solo</t>
  </si>
  <si>
    <t>ou</t>
  </si>
  <si>
    <t>Identificação do Setor:</t>
  </si>
  <si>
    <t>Setor 1</t>
  </si>
  <si>
    <t>Área do talhão a ser fertirrigada</t>
  </si>
  <si>
    <t>Análise de Solo no bulbo molhado</t>
  </si>
  <si>
    <t>Análise Foliar</t>
  </si>
  <si>
    <t>pH</t>
  </si>
  <si>
    <t>dag/kg (%)</t>
  </si>
  <si>
    <t>Ca (KCl)</t>
  </si>
  <si>
    <t>Mg (KCl)</t>
  </si>
  <si>
    <r>
      <t>kg/ha de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5 </t>
    </r>
  </si>
  <si>
    <t>S (Fosf. Monoc.)</t>
  </si>
  <si>
    <t>Zn (Mehlich-1)</t>
  </si>
  <si>
    <t>B (Mehlich-1)</t>
  </si>
  <si>
    <t>kg/ha de Ca</t>
  </si>
  <si>
    <t>Cu (Mehlich-1)</t>
  </si>
  <si>
    <t>kg/ha de Mg</t>
  </si>
  <si>
    <t>Fe (Mehlich-1)</t>
  </si>
  <si>
    <t>kg/ha de S</t>
  </si>
  <si>
    <t>Mn (Mehlich-1)</t>
  </si>
  <si>
    <t>Condutividade Elétrica (CE)</t>
  </si>
  <si>
    <t>dS/m</t>
  </si>
  <si>
    <t>kg/ha de Fe</t>
  </si>
  <si>
    <r>
      <t>m</t>
    </r>
    <r>
      <rPr>
        <b/>
        <vertAlign val="superscript"/>
        <sz val="10"/>
        <rFont val="Arial"/>
        <family val="2"/>
      </rPr>
      <t>2</t>
    </r>
  </si>
  <si>
    <t>Nutriente</t>
  </si>
  <si>
    <t>kg/ha/ano</t>
  </si>
  <si>
    <t>kg/talhão/ano</t>
  </si>
  <si>
    <r>
      <t>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5</t>
    </r>
  </si>
  <si>
    <r>
      <t>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</si>
  <si>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t xml:space="preserve">Porcentagem da dose total dos nutrientes em função do estadio fenológico e dose mensal por setor para o talhão de </t>
  </si>
  <si>
    <t>Mês</t>
  </si>
  <si>
    <t>Estádio Fenológico</t>
  </si>
  <si>
    <t>% da dose total</t>
  </si>
  <si>
    <t>Pré-Florada e Floração</t>
  </si>
  <si>
    <t>Desenvolvimento dos Frutos</t>
  </si>
  <si>
    <t>Granação</t>
  </si>
  <si>
    <t>Maturação e Pós-Colheita</t>
  </si>
  <si>
    <t xml:space="preserve">N </t>
  </si>
  <si>
    <t>Fertilizantes a serem utilizados para fornecimento dos macronutrientes</t>
  </si>
  <si>
    <t>45% de N</t>
  </si>
  <si>
    <t xml:space="preserve"> Obs: Clique sobre a célula cinza indicativa de cada fonte de nutrinetes e selecione os fertilizantes clicando sobre a seta no lado direito da célula.</t>
  </si>
  <si>
    <t>Sulfato de Amônio</t>
  </si>
  <si>
    <t>21% de N e 24% de S</t>
  </si>
  <si>
    <t>Nitrato de Amônio</t>
  </si>
  <si>
    <t>33% de N</t>
  </si>
  <si>
    <t>Fonte</t>
  </si>
  <si>
    <t>Teor de Nutrientes (%)</t>
  </si>
  <si>
    <t>MAP</t>
  </si>
  <si>
    <t>12 %N e 60% de P2O5</t>
  </si>
  <si>
    <r>
      <t>P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 xml:space="preserve"> </t>
    </r>
  </si>
  <si>
    <t>Uréia Fosfatada</t>
  </si>
  <si>
    <t>17% de N e 44% de P2O5</t>
  </si>
  <si>
    <t>Fosfato de Potássio</t>
  </si>
  <si>
    <t>52% de P2O5 e 34% de K2O</t>
  </si>
  <si>
    <t>Cloreto de Potássio</t>
  </si>
  <si>
    <t>60% K2O</t>
  </si>
  <si>
    <t>Nitrato de Cálcio</t>
  </si>
  <si>
    <t>Sulfato de Potássio</t>
  </si>
  <si>
    <t>50% de K2O e 18% de S</t>
  </si>
  <si>
    <t>Sulfato de Magnésio</t>
  </si>
  <si>
    <t>Nitrato de Potássio</t>
  </si>
  <si>
    <t>45% de K2O e 12% de N</t>
  </si>
  <si>
    <t>S elementar</t>
  </si>
  <si>
    <t>15% de N e 19% de Ca</t>
  </si>
  <si>
    <t>Cloreto de Cálcio</t>
  </si>
  <si>
    <t>27% de Ca</t>
  </si>
  <si>
    <t>(Área de Impressão)</t>
  </si>
  <si>
    <t>9% de Mg e 12% de S</t>
  </si>
  <si>
    <t>Nitrato de Magnésio</t>
  </si>
  <si>
    <t>9% de Mg e 10% de N</t>
  </si>
  <si>
    <t xml:space="preserve">S elementar </t>
  </si>
  <si>
    <t>95% de S</t>
  </si>
  <si>
    <t>Quantidade mensal dos fertilizantes a serem aplicados em função do estádio fenológico</t>
  </si>
  <si>
    <t xml:space="preserve">     Dose do fertilizante (kg) para o talhão de </t>
  </si>
  <si>
    <t>Total no ano</t>
  </si>
  <si>
    <t>Qualidade da água de irrigação</t>
  </si>
  <si>
    <t>Determinações</t>
  </si>
  <si>
    <t>Grau de restrição</t>
  </si>
  <si>
    <t>Nenhum</t>
  </si>
  <si>
    <t>Moderado</t>
  </si>
  <si>
    <t>Severo</t>
  </si>
  <si>
    <t>CE (dS/m)</t>
  </si>
  <si>
    <t>Fonte: Landis et al. (1989)</t>
  </si>
  <si>
    <t>Fonte: Adaptado de Kemira citado por Alvarenga (2004).</t>
  </si>
  <si>
    <t>Unidades dos elementos em mg/L.</t>
  </si>
  <si>
    <t xml:space="preserve">Critéiros utilizados para a determinação das doses de nutrientes </t>
  </si>
  <si>
    <t>Critérios para Análise de Solo</t>
  </si>
  <si>
    <t>Critérios para Análise Foliar</t>
  </si>
  <si>
    <t>N = 226,417+2,465*Prod -10,975*MO</t>
  </si>
  <si>
    <t>Teores abaixo do limete superior = 100% da dose recomendada</t>
  </si>
  <si>
    <t>P = 189+0,537*Prod-8,26*P-2,1*Prem)-(MO*2</t>
  </si>
  <si>
    <t>Teores acima do limete superior e inferior ao límite superio+30% = 50% da dose recomendada</t>
  </si>
  <si>
    <t>K = 236,47+2,381*Prod-1,21*K)-(MO*3</t>
  </si>
  <si>
    <t>Teores acima do limete superior+30% = 0% da dose recomendada</t>
  </si>
  <si>
    <t>Ca = (&lt;2;100)(2-3;75)(3-4;50)(&gt;4;0)</t>
  </si>
  <si>
    <t>Teor foliar</t>
  </si>
  <si>
    <t>Mg = (&lt;0,4;80)(0,4-0,8;50)(0,8-1,2;30)(&gt;1,2;0)</t>
  </si>
  <si>
    <t>N = (&lt;3,2;100%)(3,2-4,2;50%)(&gt;4,2;0%)</t>
  </si>
  <si>
    <t>LMin.</t>
  </si>
  <si>
    <t>LMax.</t>
  </si>
  <si>
    <t>LMax.+30%</t>
  </si>
  <si>
    <t>S =  (&lt;20;40)(20-30;30)(30-40;20)(&gt;40;0)</t>
  </si>
  <si>
    <t>P =  (&lt;1,16;100%)(1,16-1,4;50%)(&gt;1,4;0%)</t>
  </si>
  <si>
    <t>Zn =  (&lt;2;3)(2-4;2)(4-6;1)(&gt;6;0)</t>
  </si>
  <si>
    <t>K =  (&lt;2,2;100%)(2,2-2,6;50%)(&gt;2,6;0%)</t>
  </si>
  <si>
    <t>B = (&lt;0,3;3)(0,3-0,6;2)(0,6-1;1)(&gt;1;0)</t>
  </si>
  <si>
    <t>Ca =  (&lt;1,3;100%)(1,3-1,6;50%)(&gt;1,6;0%)</t>
  </si>
  <si>
    <t>Cu =  (&lt;0,5;3)(0,5-1;2)(1-2;1)(&gt;1;0)</t>
  </si>
  <si>
    <t>Mg =  (&lt;1,45;100%)(1,45-1,7;50%)(&gt;1,7;0%)</t>
  </si>
  <si>
    <t>Fe = (&lt;19;15)(19-25;10)(25-30;5)(&gt;30;0)</t>
  </si>
  <si>
    <t>S = (&lt;0,2;100%)(0,2-0,24;50%)(&gt;0,24;0%)</t>
  </si>
  <si>
    <t>Mn= (&lt;5;15)(5-10;10)(10-15;5)(&gt;15;0)</t>
  </si>
  <si>
    <t>Zn =  (&lt;20;100%)(20-24;50%)(&gt;24;0%)</t>
  </si>
  <si>
    <t>B =  (&lt;80;100%)(80-96;50%)(&gt;96;0%)</t>
  </si>
  <si>
    <t>Cu =  (&lt;16;100%)(16-19,2;50%)(&gt;19,2;0%)</t>
  </si>
  <si>
    <t>Fe = (&lt;80;100%)(80-96;50%)(&gt;96;0%)</t>
  </si>
  <si>
    <t>Mn = (&lt;200;100%)(200-240;50%)(&gt;240;0%)</t>
  </si>
  <si>
    <t>Obs: Caso não tenha os dados da análise foliar</t>
  </si>
  <si>
    <t xml:space="preserve">        digite valores que estejam dentro dos limites</t>
  </si>
  <si>
    <t>RECOMENDAÇÃO DE CALAGEM E ADUBAÇÃO</t>
  </si>
  <si>
    <t>Frequência de aplicação:</t>
  </si>
  <si>
    <t>Ureia</t>
  </si>
  <si>
    <t xml:space="preserve">Plantio em Canteiros: </t>
  </si>
  <si>
    <t xml:space="preserve">Plantio em Covas: </t>
  </si>
  <si>
    <t>(Alface, Almeirão, Salsa, Coentro, Rúcula e outras folhosas de ciclo curto)</t>
  </si>
  <si>
    <t>&lt; 0,7</t>
  </si>
  <si>
    <t>&lt; 3,0</t>
  </si>
  <si>
    <t>&lt; 63</t>
  </si>
  <si>
    <t>&lt; 70</t>
  </si>
  <si>
    <t>&lt; 0,2</t>
  </si>
  <si>
    <t>&lt; 149</t>
  </si>
  <si>
    <t>5,5  -  7,0</t>
  </si>
  <si>
    <t>0,71 - 3,0</t>
  </si>
  <si>
    <t>3,01 - 6,0</t>
  </si>
  <si>
    <t>20 - 100</t>
  </si>
  <si>
    <t>101 - 200</t>
  </si>
  <si>
    <t>64 - 100</t>
  </si>
  <si>
    <t>71 - 180</t>
  </si>
  <si>
    <t>0,21 - 0,4</t>
  </si>
  <si>
    <t>41 - 180</t>
  </si>
  <si>
    <t>150 - 250</t>
  </si>
  <si>
    <t>71 - 300</t>
  </si>
  <si>
    <t>0,51 - 2,0</t>
  </si>
  <si>
    <t>5,1 - 30</t>
  </si>
  <si>
    <t>&lt; 5,4 ou &gt; 7,1</t>
  </si>
  <si>
    <t>&lt; 4,5 ou &gt; 8,0</t>
  </si>
  <si>
    <t>&gt; 3,01</t>
  </si>
  <si>
    <t>&gt; 6,01</t>
  </si>
  <si>
    <t>&gt; 201</t>
  </si>
  <si>
    <t>&gt; 101</t>
  </si>
  <si>
    <t>&gt; 181</t>
  </si>
  <si>
    <t>&gt; 0,41</t>
  </si>
  <si>
    <t>&gt; 251</t>
  </si>
  <si>
    <t>&gt; 301</t>
  </si>
  <si>
    <t>&gt; 2,01</t>
  </si>
  <si>
    <t>&gt; 31</t>
  </si>
  <si>
    <t>Adubação de Plantio (por planta):</t>
  </si>
  <si>
    <t>Adubação de Cobertura (por planta):</t>
  </si>
  <si>
    <r>
      <t>Adubação de Plantio (por 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):</t>
    </r>
  </si>
  <si>
    <r>
      <t>Adubação de Cobertura (por 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):</t>
    </r>
  </si>
  <si>
    <r>
      <t>produto similar, na base de 400 mL/m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.</t>
    </r>
  </si>
  <si>
    <t>(Minimo. de 5000)</t>
  </si>
  <si>
    <r>
      <t>Adubação de Cobertura (por 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 xml:space="preserve">) </t>
    </r>
  </si>
  <si>
    <t>Para Cenoura e Beterraba: Avaliar a necessidade em função do vigor.</t>
  </si>
  <si>
    <t>Dose de fertilizante:</t>
  </si>
  <si>
    <t xml:space="preserve">Número de parcelamentos </t>
  </si>
  <si>
    <r>
      <t>ppm = mg/dm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= mg/kg = mg/L</t>
    </r>
  </si>
  <si>
    <r>
      <t>meq/100g = 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</si>
  <si>
    <r>
      <t>mmol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= 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x 10</t>
    </r>
  </si>
  <si>
    <r>
      <t>% x 10.000 = mg/dm</t>
    </r>
    <r>
      <rPr>
        <vertAlign val="superscript"/>
        <sz val="10"/>
        <rFont val="Arial"/>
        <family val="2"/>
      </rPr>
      <t>3</t>
    </r>
  </si>
  <si>
    <r>
      <t>mg/dm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x 2 = kg/ha</t>
    </r>
  </si>
  <si>
    <r>
      <t>mol/dm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x mol = g/dm</t>
    </r>
    <r>
      <rPr>
        <vertAlign val="superscript"/>
        <sz val="10"/>
        <rFont val="Arial"/>
        <family val="2"/>
      </rPr>
      <t>3</t>
    </r>
  </si>
  <si>
    <r>
      <t>cmol/dm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x mol = cg/dm</t>
    </r>
    <r>
      <rPr>
        <vertAlign val="superscript"/>
        <sz val="10"/>
        <rFont val="Arial"/>
        <family val="2"/>
      </rPr>
      <t>3</t>
    </r>
  </si>
  <si>
    <r>
      <t>mmol/dm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x mol = mg/dm</t>
    </r>
    <r>
      <rPr>
        <vertAlign val="superscript"/>
        <sz val="10"/>
        <rFont val="Arial"/>
        <family val="2"/>
      </rPr>
      <t>3</t>
    </r>
  </si>
  <si>
    <r>
      <t>K x 1,2 =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</si>
  <si>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P x 2,3 =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</si>
  <si>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Ca x 2,5 = CaCO</t>
    </r>
    <r>
      <rPr>
        <vertAlign val="subscript"/>
        <sz val="10"/>
        <rFont val="Arial"/>
        <family val="2"/>
      </rPr>
      <t>3</t>
    </r>
  </si>
  <si>
    <t>RELAÇÕES ENTRE AS PRINCIPAIS UNIDADES</t>
  </si>
  <si>
    <t>Fosfato natural parcialmente acidulado (clorídrico)</t>
  </si>
  <si>
    <t>Fosfato natural parcialmente acidulado (fosfórico ou sulfúrico)</t>
  </si>
  <si>
    <t>Superfosfato duplo</t>
  </si>
  <si>
    <t>Adubação de cobertura após plantio:</t>
  </si>
  <si>
    <r>
      <t xml:space="preserve">1) 30 dias do plantio: </t>
    </r>
    <r>
      <rPr>
        <b/>
        <sz val="10"/>
        <rFont val="Arial"/>
        <family val="2"/>
      </rPr>
      <t xml:space="preserve">25 </t>
    </r>
    <r>
      <rPr>
        <sz val="10"/>
        <rFont val="Arial"/>
        <family val="2"/>
      </rPr>
      <t xml:space="preserve">g/cova de  </t>
    </r>
  </si>
  <si>
    <r>
      <t xml:space="preserve">2) 60 dias do plantio: </t>
    </r>
    <r>
      <rPr>
        <b/>
        <sz val="10"/>
        <rFont val="Arial"/>
        <family val="2"/>
      </rPr>
      <t xml:space="preserve">30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de </t>
    </r>
  </si>
  <si>
    <r>
      <t>3) 90 dias do plantio:</t>
    </r>
    <r>
      <rPr>
        <b/>
        <sz val="10"/>
        <rFont val="Arial"/>
        <family val="2"/>
      </rPr>
      <t xml:space="preserve"> 40 </t>
    </r>
    <r>
      <rPr>
        <sz val="10"/>
        <rFont val="Arial"/>
        <family val="2"/>
      </rPr>
      <t xml:space="preserve">g/cova de </t>
    </r>
  </si>
  <si>
    <r>
      <t xml:space="preserve">1) 30 dias do plantio: </t>
    </r>
    <r>
      <rPr>
        <b/>
        <sz val="10"/>
        <rFont val="Arial"/>
        <family val="2"/>
      </rPr>
      <t xml:space="preserve">40 </t>
    </r>
    <r>
      <rPr>
        <sz val="10"/>
        <rFont val="Arial"/>
        <family val="2"/>
      </rPr>
      <t xml:space="preserve">g/cova de  </t>
    </r>
  </si>
  <si>
    <r>
      <t xml:space="preserve">2) 60 dias do plantio: </t>
    </r>
    <r>
      <rPr>
        <b/>
        <sz val="10"/>
        <rFont val="Arial"/>
        <family val="2"/>
      </rPr>
      <t xml:space="preserve">50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de </t>
    </r>
  </si>
  <si>
    <r>
      <t xml:space="preserve">3) 90 dias do plantio: </t>
    </r>
    <r>
      <rPr>
        <b/>
        <sz val="10"/>
        <rFont val="Arial"/>
        <family val="2"/>
      </rPr>
      <t xml:space="preserve">60 </t>
    </r>
    <r>
      <rPr>
        <sz val="10"/>
        <rFont val="Arial"/>
        <family val="2"/>
      </rPr>
      <t xml:space="preserve">g/cova de </t>
    </r>
  </si>
  <si>
    <r>
      <t xml:space="preserve">1) 30 dias do plantio:     </t>
    </r>
    <r>
      <rPr>
        <b/>
        <sz val="10"/>
        <rFont val="Arial"/>
        <family val="2"/>
      </rPr>
      <t xml:space="preserve">40 </t>
    </r>
    <r>
      <rPr>
        <sz val="10"/>
        <rFont val="Arial"/>
        <family val="2"/>
      </rPr>
      <t xml:space="preserve">g/cova de  </t>
    </r>
  </si>
  <si>
    <r>
      <t xml:space="preserve">2) 80 dias do plantio:     </t>
    </r>
    <r>
      <rPr>
        <b/>
        <sz val="10"/>
        <rFont val="Arial"/>
        <family val="2"/>
      </rPr>
      <t xml:space="preserve">60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de </t>
    </r>
  </si>
  <si>
    <r>
      <t xml:space="preserve">3) 130 dias do plantio:  </t>
    </r>
    <r>
      <rPr>
        <b/>
        <sz val="10"/>
        <rFont val="Arial"/>
        <family val="2"/>
      </rPr>
      <t xml:space="preserve">100 </t>
    </r>
    <r>
      <rPr>
        <sz val="10"/>
        <rFont val="Arial"/>
        <family val="2"/>
      </rPr>
      <t xml:space="preserve">g/cova de </t>
    </r>
  </si>
  <si>
    <t>Pedro da Silva</t>
  </si>
  <si>
    <t>Número de aplicações por mês =</t>
  </si>
  <si>
    <t>Área cultivada =</t>
  </si>
  <si>
    <t>aplicações</t>
  </si>
  <si>
    <t>meses</t>
  </si>
  <si>
    <t>Ciclo de cultivo =</t>
  </si>
  <si>
    <r>
      <t xml:space="preserve">Segunda aplicação (dois meses após a primeira) : </t>
    </r>
    <r>
      <rPr>
        <b/>
        <sz val="10"/>
        <rFont val="Arial"/>
        <family val="2"/>
      </rPr>
      <t>100 g/planta</t>
    </r>
    <r>
      <rPr>
        <sz val="10"/>
        <rFont val="Arial"/>
        <family val="2"/>
      </rPr>
      <t xml:space="preserve"> de</t>
    </r>
  </si>
  <si>
    <t>.......................................................</t>
  </si>
  <si>
    <t xml:space="preserve"> Superfosfato Simples</t>
  </si>
  <si>
    <t>Adubação por cova:</t>
  </si>
  <si>
    <t>Litros de esterco bovino ou 10 g/cova de</t>
  </si>
  <si>
    <t>Primeira aplicação : 50 g/cova do formulado 20-00-20 (no início do período chuvoso)</t>
  </si>
  <si>
    <t>Segunda aplicação : 70 g/cova do formulado 20-00-20 (dois meses após a primeira)</t>
  </si>
  <si>
    <t>Terceira aplicação : 100 g/cova do formulado 20-00-20 (dois meses após a segunda)</t>
  </si>
  <si>
    <r>
      <t>Adubação por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canteiro:</t>
    </r>
  </si>
  <si>
    <t>Adubação por metro de sulco:</t>
  </si>
  <si>
    <t>Análise do solo:</t>
  </si>
  <si>
    <r>
      <t xml:space="preserve">1) No pegamento da muda: </t>
    </r>
    <r>
      <rPr>
        <b/>
        <sz val="10"/>
        <rFont val="Arial"/>
        <family val="2"/>
      </rPr>
      <t xml:space="preserve">100 </t>
    </r>
    <r>
      <rPr>
        <sz val="10"/>
        <rFont val="Arial"/>
        <family val="2"/>
      </rPr>
      <t>g/cova de</t>
    </r>
  </si>
  <si>
    <r>
      <t xml:space="preserve">2) 60 dias após: </t>
    </r>
    <r>
      <rPr>
        <b/>
        <sz val="10"/>
        <rFont val="Arial"/>
        <family val="2"/>
      </rPr>
      <t xml:space="preserve">200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</t>
    </r>
  </si>
  <si>
    <r>
      <t xml:space="preserve">3) No aparecimento da inflorescência: </t>
    </r>
    <r>
      <rPr>
        <b/>
        <sz val="10"/>
        <rFont val="Arial"/>
        <family val="2"/>
      </rPr>
      <t xml:space="preserve">400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</t>
    </r>
  </si>
  <si>
    <t>Matéria Organica</t>
  </si>
  <si>
    <t>Quantidade de calcário:</t>
  </si>
  <si>
    <t>N° de parcelamentos:</t>
  </si>
  <si>
    <t>1° opção:</t>
  </si>
  <si>
    <t>2° opção:</t>
  </si>
  <si>
    <t>3° opção:</t>
  </si>
  <si>
    <t>4° opção:</t>
  </si>
  <si>
    <t>g/cova de Superfosfato Simples.</t>
  </si>
  <si>
    <t xml:space="preserve">PRNT do calcário </t>
  </si>
  <si>
    <t>(antes da amontoa)</t>
  </si>
  <si>
    <r>
      <t xml:space="preserve">2) 60 dias do plantio: </t>
    </r>
    <r>
      <rPr>
        <b/>
        <sz val="10"/>
        <rFont val="Arial"/>
        <family val="2"/>
      </rPr>
      <t xml:space="preserve">40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de </t>
    </r>
  </si>
  <si>
    <r>
      <t xml:space="preserve">3) 90 dias do plantio: </t>
    </r>
    <r>
      <rPr>
        <b/>
        <sz val="10"/>
        <rFont val="Arial"/>
        <family val="2"/>
      </rPr>
      <t xml:space="preserve">50 </t>
    </r>
    <r>
      <rPr>
        <sz val="10"/>
        <rFont val="Arial"/>
        <family val="2"/>
      </rPr>
      <t xml:space="preserve">g/cova de </t>
    </r>
  </si>
  <si>
    <t xml:space="preserve">P (Mehlich-1) </t>
  </si>
  <si>
    <t xml:space="preserve">K (Mehlich-1) </t>
  </si>
  <si>
    <t xml:space="preserve">Sat. Bases (V) </t>
  </si>
  <si>
    <t xml:space="preserve">CTC do solo (T) </t>
  </si>
  <si>
    <t xml:space="preserve">    Quantidade de calcário:</t>
  </si>
  <si>
    <r>
      <t xml:space="preserve">3) </t>
    </r>
    <r>
      <rPr>
        <b/>
        <sz val="12"/>
        <rFont val="Arial"/>
        <family val="2"/>
      </rPr>
      <t>Calagem:</t>
    </r>
  </si>
  <si>
    <r>
      <t xml:space="preserve">2) </t>
    </r>
    <r>
      <rPr>
        <b/>
        <sz val="12"/>
        <rFont val="Arial"/>
        <family val="2"/>
      </rPr>
      <t>Adubação de segundo ano:</t>
    </r>
  </si>
  <si>
    <r>
      <t xml:space="preserve">Primeira  aplicação (no início do período chuvoso) :  </t>
    </r>
    <r>
      <rPr>
        <b/>
        <sz val="10"/>
        <rFont val="Arial"/>
        <family val="2"/>
      </rPr>
      <t xml:space="preserve">60 g/planta  </t>
    </r>
    <r>
      <rPr>
        <sz val="10"/>
        <rFont val="Arial"/>
        <family val="2"/>
      </rPr>
      <t>de</t>
    </r>
  </si>
  <si>
    <r>
      <t xml:space="preserve">Terceira aplicação (dois meses após a segunda) : </t>
    </r>
    <r>
      <rPr>
        <b/>
        <sz val="10"/>
        <rFont val="Arial"/>
        <family val="2"/>
      </rPr>
      <t>130 g/planta</t>
    </r>
    <r>
      <rPr>
        <sz val="10"/>
        <rFont val="Arial"/>
        <family val="2"/>
      </rPr>
      <t xml:space="preserve">  de</t>
    </r>
  </si>
  <si>
    <t xml:space="preserve">Amostragem do solo: </t>
  </si>
  <si>
    <t xml:space="preserve">Amostragem foliar: </t>
  </si>
  <si>
    <t xml:space="preserve">PRNT do calcário: </t>
  </si>
  <si>
    <t xml:space="preserve">Análise do Solo: </t>
  </si>
  <si>
    <t xml:space="preserve">  t/ha  (ler observação 3)</t>
  </si>
  <si>
    <t>Brachiaria brizantha; Tubiatã, Elefante, Andropogon, Gordura, Setária, etc.</t>
  </si>
  <si>
    <t>Napier, Colonião; Coast-cross, Cameron, Elefante, Guatemala, Rhodes, Pangola, Quiquio, etc.</t>
  </si>
  <si>
    <t xml:space="preserve">Distância entre covas: </t>
  </si>
  <si>
    <t>t/ha de calcário dolomítico.</t>
  </si>
  <si>
    <t xml:space="preserve">Calagem: </t>
  </si>
  <si>
    <t xml:space="preserve">Adubação de cobertura aos 40 dias da germinação: </t>
  </si>
  <si>
    <t>sc/ talhão de calcário.</t>
  </si>
  <si>
    <t>sc/ talhão de Superfosfato simples.</t>
  </si>
  <si>
    <t>sc/ talhão de formulado.</t>
  </si>
  <si>
    <t>sc/ talhão de FTE (sc de 50 kg).</t>
  </si>
  <si>
    <t>FERTIRRIGAÇÃO</t>
  </si>
  <si>
    <t>APRESENTAÇÃO</t>
  </si>
  <si>
    <t>Mehlich</t>
  </si>
  <si>
    <t>Extrator</t>
  </si>
  <si>
    <t>ADUBAÇÃO COM MICRONUTRIENTES</t>
  </si>
  <si>
    <t>Teor da análise</t>
  </si>
  <si>
    <r>
      <t>do solo (mg/dm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</si>
  <si>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 xml:space="preserve">  kg/ha de Zn</t>
  </si>
  <si>
    <t xml:space="preserve">  kg/ha de B</t>
  </si>
  <si>
    <t xml:space="preserve">  kg/ha de Cu</t>
  </si>
  <si>
    <t xml:space="preserve">  kg/ha de Mn</t>
  </si>
  <si>
    <t>Dose Recomendada</t>
  </si>
  <si>
    <t>GESSAGEM</t>
  </si>
  <si>
    <t>1) O gesso deve ser utilizado somente para correção da acidez do solo em camadas abaixo de 20 cm de profundidade.</t>
  </si>
  <si>
    <t>Resultado da análise do solo da camada de 20-40 cm</t>
  </si>
  <si>
    <t>Quantidade de gesso =</t>
  </si>
  <si>
    <r>
      <t xml:space="preserve">  K (mg/dm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</si>
  <si>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 xml:space="preserve"> Ca (cmol</t>
    </r>
    <r>
      <rPr>
        <vertAlign val="subscript"/>
        <sz val="11"/>
        <rFont val="Arial"/>
        <family val="2"/>
      </rPr>
      <t>c</t>
    </r>
    <r>
      <rPr>
        <sz val="11"/>
        <rFont val="Arial"/>
        <family val="2"/>
      </rPr>
      <t>/dm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</si>
  <si>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 xml:space="preserve"> Mg (cmol</t>
    </r>
    <r>
      <rPr>
        <vertAlign val="subscript"/>
        <sz val="11"/>
        <rFont val="Arial"/>
        <family val="2"/>
      </rPr>
      <t>c</t>
    </r>
    <r>
      <rPr>
        <sz val="11"/>
        <rFont val="Arial"/>
        <family val="2"/>
      </rPr>
      <t>/dm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</si>
  <si>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 xml:space="preserve"> Al (cmol</t>
    </r>
    <r>
      <rPr>
        <vertAlign val="subscript"/>
        <sz val="11"/>
        <rFont val="Arial"/>
        <family val="2"/>
      </rPr>
      <t>c</t>
    </r>
    <r>
      <rPr>
        <sz val="11"/>
        <rFont val="Arial"/>
        <family val="2"/>
      </rPr>
      <t>/dm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</si>
  <si>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 xml:space="preserve"> H+Al (cmol</t>
    </r>
    <r>
      <rPr>
        <vertAlign val="subscript"/>
        <sz val="11"/>
        <rFont val="Arial"/>
        <family val="2"/>
      </rPr>
      <t>c</t>
    </r>
    <r>
      <rPr>
        <sz val="11"/>
        <rFont val="Arial"/>
        <family val="2"/>
      </rPr>
      <t>/dm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</si>
  <si>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t xml:space="preserve">  kg/ha de gesso.</t>
  </si>
  <si>
    <r>
      <t>Quantidade de K</t>
    </r>
    <r>
      <rPr>
        <b/>
        <vertAlign val="subscript"/>
        <sz val="11"/>
        <color indexed="16"/>
        <rFont val="Arial"/>
        <family val="2"/>
      </rPr>
      <t>2</t>
    </r>
    <r>
      <rPr>
        <b/>
        <sz val="11"/>
        <color indexed="16"/>
        <rFont val="Arial"/>
        <family val="2"/>
      </rPr>
      <t xml:space="preserve">O </t>
    </r>
    <r>
      <rPr>
        <sz val="11"/>
        <color indexed="17"/>
        <rFont val="Arial"/>
        <family val="2"/>
      </rPr>
      <t>(kg/ha)</t>
    </r>
  </si>
  <si>
    <t>ADUBAÇÃO DE CAFÉ ARÁBICA</t>
  </si>
  <si>
    <t>ESPAÇAMENTO RECOMENDADO PARA CULTIVO ORGÂNICO</t>
  </si>
  <si>
    <t>CULTIVO ORGÂNICO</t>
  </si>
  <si>
    <t>Teores médios de nutrientes (dag/kg)</t>
  </si>
  <si>
    <t>FERTILIZANTES ORGÂNICOS</t>
  </si>
  <si>
    <t>FERTILIZANTES</t>
  </si>
  <si>
    <t>Teores médios de nutrientes</t>
  </si>
  <si>
    <t>UTILIDADES</t>
  </si>
  <si>
    <r>
      <t>pH em CaCl</t>
    </r>
    <r>
      <rPr>
        <vertAlign val="subscript"/>
        <sz val="11"/>
        <rFont val="Arial"/>
        <family val="2"/>
      </rPr>
      <t>2</t>
    </r>
  </si>
  <si>
    <t>Acidez</t>
  </si>
  <si>
    <t>Atributo</t>
  </si>
  <si>
    <t>&lt;  5</t>
  </si>
  <si>
    <t>&gt;  60</t>
  </si>
  <si>
    <t>Classes de interpretação para fósforo disponível em função da cultura e da textura do solo.</t>
  </si>
  <si>
    <r>
      <t>Estimativa da t</t>
    </r>
    <r>
      <rPr>
        <b/>
        <sz val="11"/>
        <color indexed="8"/>
        <rFont val="Arial"/>
        <family val="2"/>
      </rPr>
      <t xml:space="preserve">extura </t>
    </r>
    <r>
      <rPr>
        <b/>
        <sz val="11"/>
        <rFont val="Arial"/>
        <family val="2"/>
      </rPr>
      <t>do solo em função do fósforo remanescente (P-rem).</t>
    </r>
  </si>
  <si>
    <t>Classes de interpretação para acidez ativa do solo (pH).</t>
  </si>
  <si>
    <t>Classes de interpretação para micronutrientes disponíveis no solo.</t>
  </si>
  <si>
    <t>KCl 1M</t>
  </si>
  <si>
    <r>
      <t>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</si>
  <si>
    <r>
      <t>mg/dm</t>
    </r>
    <r>
      <rPr>
        <vertAlign val="super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</si>
  <si>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CaH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0,01 M</t>
    </r>
  </si>
  <si>
    <r>
      <t>dag/dm</t>
    </r>
    <r>
      <rPr>
        <vertAlign val="superscript"/>
        <sz val="10"/>
        <rFont val="Arial"/>
        <family val="2"/>
      </rPr>
      <t>3</t>
    </r>
  </si>
  <si>
    <t>Classes de interpretação para cátions, enxofre e matéria orgânica.</t>
  </si>
  <si>
    <t>Classes de interpretação para potássio disponível em função da cultura.</t>
  </si>
  <si>
    <t>Fósforo (P)</t>
  </si>
  <si>
    <t>P-rem (mg/L)</t>
  </si>
  <si>
    <t>1,5 - 4,0</t>
  </si>
  <si>
    <t>0,5 - 1,0</t>
  </si>
  <si>
    <t>0,3 - 1,0</t>
  </si>
  <si>
    <t>2,5 - 5,0</t>
  </si>
  <si>
    <t>2,0 - 5,0</t>
  </si>
  <si>
    <t>2,5 - 6,0</t>
  </si>
  <si>
    <t>1,5 - 3,0</t>
  </si>
  <si>
    <t>0,3 - 0,9</t>
  </si>
  <si>
    <t>1,0 - 2,2</t>
  </si>
  <si>
    <t>0,8 - 1,8</t>
  </si>
  <si>
    <t>TEORES FOLIARES CONSIDERADOS ADEQUADOS</t>
  </si>
  <si>
    <t>-------------------------------------- dag/kg --------------------------------------</t>
  </si>
  <si>
    <t>------------------------------- mg/kg -------------------------------</t>
  </si>
  <si>
    <t>Anuais</t>
  </si>
  <si>
    <t>Perenes</t>
  </si>
  <si>
    <t>unidade x 1000</t>
  </si>
  <si>
    <t>unidade x 100</t>
  </si>
  <si>
    <t>unidade x 10</t>
  </si>
  <si>
    <t xml:space="preserve">unidade </t>
  </si>
  <si>
    <t>unidade / 10</t>
  </si>
  <si>
    <t>unidade / 100</t>
  </si>
  <si>
    <t>unidade / 1000</t>
  </si>
  <si>
    <t>Massa</t>
  </si>
  <si>
    <t>quiilo</t>
  </si>
  <si>
    <t>PREÇO MÉDIO POR KG DE NUTRIENTE EM FUNÇÃO DA TIPO DE ADUBO</t>
  </si>
  <si>
    <t>Formulado =</t>
  </si>
  <si>
    <t>Adubos Simples =</t>
  </si>
  <si>
    <t>CULTIVO ORGÂNICO - IMPLANTAÇÃO DE CULTURAS PERENES</t>
  </si>
  <si>
    <r>
      <t xml:space="preserve">   1) 90 dias :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4</t>
    </r>
    <r>
      <rPr>
        <sz val="10"/>
        <rFont val="Arial"/>
        <family val="2"/>
      </rPr>
      <t xml:space="preserve">  L/cova de Composto orgânico  = </t>
    </r>
  </si>
  <si>
    <r>
      <t xml:space="preserve">   2) 210 dias:  </t>
    </r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  L/cova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de Composto orgânico = </t>
    </r>
  </si>
  <si>
    <t>Total =</t>
  </si>
  <si>
    <t>CULTIVO ORGÂNICO - CULTURAS PERENES EM PRODUÇÃO</t>
  </si>
  <si>
    <t>CULTIVO ORGÂNICO - CAFÉ EM PRODUÇÃO</t>
  </si>
  <si>
    <t>CULTIVO ORGÂNICO DE HORTALIÇAS EM CANTEIROS - GRUPO 1</t>
  </si>
  <si>
    <t>Quantidade por m2</t>
  </si>
  <si>
    <t>CULTIVO ORGÂNICO DE HORTALIÇAS EM CANTEIROS - GRUPO 2</t>
  </si>
  <si>
    <t xml:space="preserve">        Teor de nutrientes e umidade do Fertilizante Orgânico a ser utilizado:</t>
  </si>
  <si>
    <t>Para Alho: Até início da diferenciação bulbar com biofertilizante sem a fonte potássica.</t>
  </si>
  <si>
    <t>Para Morango: Até meados da frutificação.</t>
  </si>
  <si>
    <t>a partir de 30 dias após plantio.</t>
  </si>
  <si>
    <t>mL de biofertilizante (ou produto similar) aplicado no solo, quinzenalmente,</t>
  </si>
  <si>
    <t>CULTIVO ORGÂNICO DE HORTALIÇAS EM COVAS OU SULCOS - GRUPO 3</t>
  </si>
  <si>
    <t>Quant. de Fert. Org.</t>
  </si>
  <si>
    <t>Quant. por planta</t>
  </si>
  <si>
    <t>CULTIVO ORGÂNICO DE HORTALIÇAS EM COVAS OU SULCOS - GRUPO 4</t>
  </si>
  <si>
    <t xml:space="preserve">mL de biofertilizante (ou produto similar), aplicado no solo,  quinzenalmente, a partir de 30 dias </t>
  </si>
  <si>
    <t>o biofertilizante mensalmente, sem a fonte potássica)</t>
  </si>
  <si>
    <t>após plantio, até meados da frutificação (Para  a cultura da abóbora-moita e couve-folha, aplicar</t>
  </si>
  <si>
    <t>CULTIVO ORGÂNICO DE HORTALIÇAS EM COVAS OU SULCOS - GRUPO 5</t>
  </si>
  <si>
    <t>Cálculo da quantidade de fertilizantes a serem utilizados na fertirrigação para fornecimento de N e K</t>
  </si>
  <si>
    <t>Ciclo de cultivo:</t>
  </si>
  <si>
    <t>Quantidade de nutrientes exigida pela cultura durante todo o ciclo:</t>
  </si>
  <si>
    <t>Fertilizantes a serem utilizados:</t>
  </si>
  <si>
    <t>Obs: Digite os dois fertilizantes e os seus respectivos teores de nutrientes.</t>
  </si>
  <si>
    <t>DAP</t>
  </si>
  <si>
    <t>Fertilizantes</t>
  </si>
  <si>
    <t>Fertilizantes mais utilizados em fertirrigação e seus teores de nutrientes:</t>
  </si>
  <si>
    <t>ADUBAÇÃO DE PLANTIO E FORMAÇÃO</t>
  </si>
  <si>
    <t>João</t>
  </si>
  <si>
    <t>Matéria Orgânica</t>
  </si>
  <si>
    <t>ADUBAÇÃO DO ABACATEIRO</t>
  </si>
  <si>
    <t xml:space="preserve">    espaçadas de um período de, no mínimo, 10 meses.</t>
  </si>
  <si>
    <r>
      <t xml:space="preserve">1) Caso não seja possível a incorporação do calcário, dividir em doses de, no máximo </t>
    </r>
    <r>
      <rPr>
        <b/>
        <sz val="10"/>
        <rFont val="Arial"/>
        <family val="2"/>
      </rPr>
      <t>3 t/ha</t>
    </r>
    <r>
      <rPr>
        <sz val="10"/>
        <rFont val="Arial"/>
        <family val="2"/>
      </rPr>
      <t>, por vez,</t>
    </r>
  </si>
  <si>
    <t>Sódio (Na)</t>
  </si>
  <si>
    <t>INTERPRETAÇÃO DA ANÁLISE DO SOLO</t>
  </si>
  <si>
    <t>ADUBAÇÃO DO SUBSTRATO PARA A PRODUÇÃO DE MUDAS</t>
  </si>
  <si>
    <t>1) Adubação de primeiro ano</t>
  </si>
  <si>
    <t>Sat. Bases - V (%)</t>
  </si>
  <si>
    <r>
      <t xml:space="preserve">Primeira aplicação (no início do período chuvoso):  </t>
    </r>
    <r>
      <rPr>
        <b/>
        <sz val="10"/>
        <rFont val="Arial"/>
        <family val="2"/>
      </rPr>
      <t xml:space="preserve">50 g/planta </t>
    </r>
    <r>
      <rPr>
        <sz val="10"/>
        <rFont val="Arial"/>
        <family val="2"/>
      </rPr>
      <t>de</t>
    </r>
  </si>
  <si>
    <r>
      <t xml:space="preserve">Segunda aplicação (dois meses após a primeira): </t>
    </r>
    <r>
      <rPr>
        <b/>
        <sz val="10"/>
        <rFont val="Arial"/>
        <family val="2"/>
      </rPr>
      <t>100 g/planta</t>
    </r>
    <r>
      <rPr>
        <sz val="10"/>
        <rFont val="Arial"/>
        <family val="2"/>
      </rPr>
      <t xml:space="preserve"> de</t>
    </r>
  </si>
  <si>
    <r>
      <t xml:space="preserve">Terceira aplicação (dois meses após a segunda): </t>
    </r>
    <r>
      <rPr>
        <b/>
        <sz val="10"/>
        <rFont val="Arial"/>
        <family val="2"/>
      </rPr>
      <t>150 g/planta</t>
    </r>
    <r>
      <rPr>
        <sz val="10"/>
        <rFont val="Arial"/>
        <family val="2"/>
      </rPr>
      <t xml:space="preserve"> de</t>
    </r>
  </si>
  <si>
    <t>ADUBAÇÃO DA CULTURA DO ABACATE - 2 a 3 anos</t>
  </si>
  <si>
    <t>ADUBAÇÃO DA CULTURA DO ABACATE - 1 a 2 anos</t>
  </si>
  <si>
    <t>ADUBAÇÃO DA CULTURA DO ABACATE - Produção</t>
  </si>
  <si>
    <t>ADUBAÇÃO DA CULTURA DA ABÓBORA MOITE</t>
  </si>
  <si>
    <t>ADUBAÇÃO DA CULTURA DO ABACAXI</t>
  </si>
  <si>
    <t>ADUBAÇÃO DA CULTURA DA ABÓBORA RASTEIRA</t>
  </si>
  <si>
    <t>ADUBAÇÃO DA CULTURA DA ACEROLA - Formação</t>
  </si>
  <si>
    <t>ADUBAÇÃO DA CULTURA DA ACEROLA - Produção</t>
  </si>
  <si>
    <t>2) Calagem</t>
  </si>
  <si>
    <t>1) Adubação de Produção</t>
  </si>
  <si>
    <r>
      <t>P (mg/dm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</si>
  <si>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K (mg/dm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</si>
  <si>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CTC  (T) (cmol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</si>
  <si>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CTC do solo - T (cmolc/dm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</si>
  <si>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 xml:space="preserve"> t/ha (Ler observação 4)</t>
  </si>
  <si>
    <t>t/ha (Ler observação 4)</t>
  </si>
  <si>
    <t>Sat. Bases (V) (%)</t>
  </si>
  <si>
    <r>
      <t>CTC do solo (T) (cmol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</si>
  <si>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CTC (T) (cmol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</si>
  <si>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 xml:space="preserve">       </t>
    </r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       litros  esterco  bovino ou  </t>
    </r>
    <r>
      <rPr>
        <b/>
        <sz val="10"/>
        <rFont val="Arial"/>
        <family val="2"/>
      </rPr>
      <t>10</t>
    </r>
    <r>
      <rPr>
        <sz val="10"/>
        <rFont val="Arial"/>
        <family val="2"/>
      </rPr>
      <t xml:space="preserve"> g/cova de</t>
    </r>
  </si>
  <si>
    <t>Superfosfato Simples.</t>
  </si>
  <si>
    <r>
      <t>CTC do solo (T) (cmolc/dm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</si>
  <si>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ADUBAÇÃO DA ACEROLA</t>
  </si>
  <si>
    <t>ADUBAÇÃO DA CULTURA DA ALFACE / AGRIÃO</t>
  </si>
  <si>
    <r>
      <t>CTC (T) (cmolc/dm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</si>
  <si>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ADUBAÇÃO DA CULTURA DA ALGODÃO</t>
  </si>
  <si>
    <t>ADUBAÇÃO DA CULTURA DA ALHO</t>
  </si>
  <si>
    <t xml:space="preserve">      População de 120.000 a 187.000 pl/ha</t>
  </si>
  <si>
    <t>ADUBAÇÃO DA AMEIXEIRA</t>
  </si>
  <si>
    <t xml:space="preserve"> Superfosfato Simples.</t>
  </si>
  <si>
    <r>
      <t>P (mg/dm</t>
    </r>
    <r>
      <rPr>
        <vertAlign val="superscript"/>
        <sz val="8"/>
        <rFont val="Arial"/>
        <family val="2"/>
      </rPr>
      <t>3)</t>
    </r>
  </si>
  <si>
    <r>
      <t>K (mg/dm</t>
    </r>
    <r>
      <rPr>
        <vertAlign val="superscript"/>
        <sz val="8"/>
        <rFont val="Arial"/>
        <family val="2"/>
      </rPr>
      <t>3)</t>
    </r>
  </si>
  <si>
    <t>ADUBAÇÃO DA CULTURA DO CACAU - Produção</t>
  </si>
  <si>
    <t>ADUBAÇÃO DA CULTURA DO CACAU - 1 a 2 anos</t>
  </si>
  <si>
    <t>1) Adubação de primeiro ano:</t>
  </si>
  <si>
    <r>
      <t>K (mg/dm</t>
    </r>
    <r>
      <rPr>
        <vertAlign val="superscript"/>
        <sz val="9"/>
        <rFont val="Arial"/>
        <family val="2"/>
      </rPr>
      <t>3)</t>
    </r>
  </si>
  <si>
    <r>
      <t>P (mg/dm</t>
    </r>
    <r>
      <rPr>
        <vertAlign val="superscript"/>
        <sz val="9"/>
        <rFont val="Arial"/>
        <family val="2"/>
      </rPr>
      <t>3)</t>
    </r>
  </si>
  <si>
    <t>ADUBAÇÃO DA CULTURA DO CACAU - Plantio</t>
  </si>
  <si>
    <t>ADUBAÇÃO DA CULTURA DO CACAU</t>
  </si>
  <si>
    <t>ADUBAÇÃO DA CULTURA DA BUCHA VEGETAL</t>
  </si>
  <si>
    <r>
      <t>CTC (cmo</t>
    </r>
    <r>
      <rPr>
        <vertAlign val="subscript"/>
        <sz val="10"/>
        <rFont val="Arial"/>
        <family val="2"/>
      </rPr>
      <t>lc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</si>
  <si>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 xml:space="preserve">g/cova de  </t>
    </r>
    <r>
      <rPr>
        <b/>
        <sz val="10"/>
        <rFont val="Arial"/>
        <family val="2"/>
      </rPr>
      <t>Superfosfato Simples.</t>
    </r>
  </si>
  <si>
    <r>
      <t xml:space="preserve">g/cova de  </t>
    </r>
    <r>
      <rPr>
        <b/>
        <sz val="10"/>
        <rFont val="Arial"/>
        <family val="2"/>
      </rPr>
      <t>FTE.</t>
    </r>
  </si>
  <si>
    <r>
      <t xml:space="preserve">ou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 litros/cova de esterco bovino.</t>
    </r>
  </si>
  <si>
    <r>
      <t>CTC (cmolc/dm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</si>
  <si>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CTC (cmol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</si>
  <si>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 xml:space="preserve">ou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 L/cova de esterco bovino.</t>
    </r>
  </si>
  <si>
    <r>
      <t xml:space="preserve">g/cova de </t>
    </r>
    <r>
      <rPr>
        <b/>
        <sz val="10"/>
        <rFont val="Arial"/>
        <family val="2"/>
      </rPr>
      <t>Superfosfato Simples.</t>
    </r>
  </si>
  <si>
    <r>
      <t>g/cova de</t>
    </r>
    <r>
      <rPr>
        <b/>
        <sz val="10"/>
        <rFont val="Arial"/>
        <family val="2"/>
      </rPr>
      <t xml:space="preserve"> FTE.</t>
    </r>
  </si>
  <si>
    <t>ADUBAÇÃO DA CULTURA DO BRÓCOLIS</t>
  </si>
  <si>
    <t>ADUBAÇÃO DA CULTURA DA BERINJELA</t>
  </si>
  <si>
    <t>ADUBAÇÃO DA CULTURA DA BETERRABA</t>
  </si>
  <si>
    <t>...........................................................</t>
  </si>
  <si>
    <t>ADUBAÇÃO DA CULTURA DO BATATA DOCE</t>
  </si>
  <si>
    <t>ADUBAÇÃO DA CULTURA DA BATATA</t>
  </si>
  <si>
    <t>ADUBAÇÃO DA BANANEIRA</t>
  </si>
  <si>
    <t>ADUBAÇÃO DA CULTURA DA BANANA NÃO IRRIGADA</t>
  </si>
  <si>
    <r>
      <rPr>
        <b/>
        <sz val="10"/>
        <rFont val="Arial"/>
        <family val="2"/>
      </rPr>
      <t>Adubação de cobertura após plantio</t>
    </r>
    <r>
      <rPr>
        <sz val="10"/>
        <rFont val="Arial"/>
        <family val="2"/>
      </rPr>
      <t>:</t>
    </r>
  </si>
  <si>
    <t>ADUBAÇÃO DA CULTURA DA BANANA IRRIGADA</t>
  </si>
  <si>
    <r>
      <t xml:space="preserve"> mg/dm</t>
    </r>
    <r>
      <rPr>
        <vertAlign val="superscript"/>
        <sz val="10"/>
        <rFont val="Arial"/>
        <family val="2"/>
      </rPr>
      <t>3</t>
    </r>
  </si>
  <si>
    <t>kg/ha/ano de P2O5</t>
  </si>
  <si>
    <t>kg/ha/ano de K2O</t>
  </si>
  <si>
    <r>
      <t xml:space="preserve"> 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</si>
  <si>
    <t xml:space="preserve"> kg/ha/ano de N</t>
  </si>
  <si>
    <t xml:space="preserve"> kg/ha/ano de P2O5</t>
  </si>
  <si>
    <t xml:space="preserve"> kg/ha/ano de K2O</t>
  </si>
  <si>
    <t>Saturação de bases - V (%)</t>
  </si>
  <si>
    <r>
      <t>Fósforo Disponivel - P (mg/dm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</si>
  <si>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Potássio - K (mg/dm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</si>
  <si>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CTC a pH 7,0 - T (cmol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</si>
  <si>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Potássio - K (mg/dm3)</t>
  </si>
  <si>
    <t>CTC a pH 7,0 - T (cmolc/dm3)</t>
  </si>
  <si>
    <r>
      <t>Quantidade de insumos</t>
    </r>
    <r>
      <rPr>
        <sz val="10"/>
        <rFont val="Arial"/>
        <family val="2"/>
      </rPr>
      <t xml:space="preserve"> (referente à 1° opção)</t>
    </r>
  </si>
  <si>
    <t>ADUBAÇÃO DA CULTURA DO ARROZ SEQUEIRO</t>
  </si>
  <si>
    <t>ADUBAÇÃO DA CULTURA DO ARROZ INUNDADO</t>
  </si>
  <si>
    <t>Fósforo Disponível - P (mg/dm3)</t>
  </si>
  <si>
    <t>ADUBAÇÃO DA CULTURA DA BANANA - Plantio e Formação</t>
  </si>
  <si>
    <t>2) Adubação de segundo ano</t>
  </si>
  <si>
    <t>3) Calagem</t>
  </si>
  <si>
    <r>
      <t xml:space="preserve">Segunda aplicação:  </t>
    </r>
    <r>
      <rPr>
        <b/>
        <sz val="10"/>
        <rFont val="Arial"/>
        <family val="2"/>
      </rPr>
      <t xml:space="preserve"> 100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primeira)</t>
    </r>
  </si>
  <si>
    <r>
      <t xml:space="preserve">Terceira aplicação:    </t>
    </r>
    <r>
      <rPr>
        <b/>
        <sz val="10"/>
        <rFont val="Arial"/>
        <family val="2"/>
      </rPr>
      <t>150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segunda)</t>
    </r>
  </si>
  <si>
    <r>
      <t xml:space="preserve">Primeira aplicação:    </t>
    </r>
    <r>
      <rPr>
        <b/>
        <sz val="10"/>
        <rFont val="Arial"/>
        <family val="2"/>
      </rPr>
      <t xml:space="preserve">50 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(no início do período chuvoso)</t>
    </r>
  </si>
  <si>
    <t>Sat. Bases (%)</t>
  </si>
  <si>
    <r>
      <t>CTC do solo(cmol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</si>
  <si>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PRNT do calcário (%)</t>
  </si>
  <si>
    <t>ADUBAÇÃO DA CULTURA DA AMEIXA - 1 a 2 anos</t>
  </si>
  <si>
    <t>ADUBAÇÃO DA CULTURA DA AMEIXA - 3 a 4 anos</t>
  </si>
  <si>
    <t>ADUBAÇÃO DA CULTURA DA AMEIXA - Produção</t>
  </si>
  <si>
    <t>1) Adubação de terceiro ano</t>
  </si>
  <si>
    <t>2) Adubação de quarto ano</t>
  </si>
  <si>
    <t>Fósforo disponível - P (mg/dm3)</t>
  </si>
  <si>
    <t>TÉCNICA DE AMOSTRAGEM</t>
  </si>
  <si>
    <r>
      <t>mg/dm</t>
    </r>
    <r>
      <rPr>
        <vertAlign val="superscript"/>
        <sz val="10"/>
        <color theme="1"/>
        <rFont val="Arial"/>
        <family val="2"/>
      </rPr>
      <t>3</t>
    </r>
  </si>
  <si>
    <r>
      <t>cmol</t>
    </r>
    <r>
      <rPr>
        <vertAlign val="subscript"/>
        <sz val="10"/>
        <color theme="1"/>
        <rFont val="Arial"/>
        <family val="2"/>
      </rPr>
      <t>c</t>
    </r>
    <r>
      <rPr>
        <sz val="10"/>
        <rFont val="Arial"/>
        <family val="2"/>
      </rPr>
      <t>/dm</t>
    </r>
    <r>
      <rPr>
        <vertAlign val="superscript"/>
        <sz val="10"/>
        <color theme="1"/>
        <rFont val="Arial"/>
        <family val="2"/>
      </rPr>
      <t>3</t>
    </r>
  </si>
  <si>
    <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rFont val="Arial"/>
        <family val="2"/>
      </rPr>
      <t>/ha</t>
    </r>
  </si>
  <si>
    <r>
      <t>L/m</t>
    </r>
    <r>
      <rPr>
        <vertAlign val="superscript"/>
        <sz val="10"/>
        <color theme="1"/>
        <rFont val="Arial"/>
        <family val="2"/>
      </rPr>
      <t>2</t>
    </r>
  </si>
  <si>
    <t>Digite os dados nas celulas com bordas:</t>
  </si>
  <si>
    <t>Resultado dos cálculos:</t>
  </si>
  <si>
    <t>CÁLCULO DA DOSE DE ÁGUA RESIDUÁRIA DO CAFÉ (ARC) A SER APLICADA AO SOLO EM FUNÇÃO DO TEOR DE K NA CTC DO SOLO</t>
  </si>
  <si>
    <t>ADUBAÇÃO DO CAFÉ ARÁBICA  - Produção</t>
  </si>
  <si>
    <t xml:space="preserve">Matéria Organica - MO (%) </t>
  </si>
  <si>
    <t>Adubação de primeiro ano:</t>
  </si>
  <si>
    <t>Produtividade:</t>
  </si>
  <si>
    <t>Fósforo Remanescente - P-rem (mg/L)</t>
  </si>
  <si>
    <t xml:space="preserve"> t/ha de calcário (Ler observação 1)</t>
  </si>
  <si>
    <t>Número de parcelamentos:</t>
  </si>
  <si>
    <t xml:space="preserve">Área = </t>
  </si>
  <si>
    <t>hectares</t>
  </si>
  <si>
    <t>→ Complete as informações digitando os dados nas células amarelas.</t>
  </si>
  <si>
    <t>covas</t>
  </si>
  <si>
    <t>ADUBAÇÃO DA CULTURA DO TOMATE</t>
  </si>
  <si>
    <t>ADUBAÇÃO DA CULTURA DA SERINGUEIRA - acima de 15 anos</t>
  </si>
  <si>
    <t>ADUBAÇÃO DA CULTURA DA UVA - Produção</t>
  </si>
  <si>
    <t>ADUBAÇÃO DA CULTURA DA UVA - 1 a 2 anos</t>
  </si>
  <si>
    <t>ADUBAÇÃO DA CULTURA DA SERINGUEIRA - de 4 a 15 anos</t>
  </si>
  <si>
    <t>ADUBAÇÃO DA CULTURA DA SERINGUEIRA - de 1 a 3 anos</t>
  </si>
  <si>
    <t>ADUBAÇÃO DA CULTURA DA SALSA</t>
  </si>
  <si>
    <t>ADUBAÇÃO DA CULTURA DO REPOLHO</t>
  </si>
  <si>
    <t>ADUBAÇÃO DA CULTURA DO RABANETE</t>
  </si>
  <si>
    <t>ADUBAÇÃO DA CULTURA DO QUIABO</t>
  </si>
  <si>
    <t>ADUBAÇÃO DA CULTURA DA PUPUNHA - Produção</t>
  </si>
  <si>
    <t>ADUBAÇÃO DA CULTURA DA PUPUNHA - Plantio</t>
  </si>
  <si>
    <t>1) Adubação de plantio (cova de 30 x 30 x 30 cm)</t>
  </si>
  <si>
    <t>ADUBAÇÃO DA CULTURA DA PIMENTA-DO-REINO - Produção</t>
  </si>
  <si>
    <t>ADUBAÇÃO - Plantio e Formação</t>
  </si>
  <si>
    <t>ADUBAÇÃO DA CULTURA DO PIMENTÃO</t>
  </si>
  <si>
    <t>ADUBAÇÃO DA CULTURA DA PIMENTA</t>
  </si>
  <si>
    <t>ADUBAÇÃO DA CULTURA DO PÊSSEGO - Produção</t>
  </si>
  <si>
    <t>ADUBAÇÃO DA CULTURA DO  PÊSSEGO - 1 a 2 anos</t>
  </si>
  <si>
    <t>ADUBAÇÃO DA CULTURA DO PÊSSEGO - 3 a 4 anos</t>
  </si>
  <si>
    <t>ADUBAÇÃO DE MANUTENÇÃO DE PASTAGENS INTENSIVAS</t>
  </si>
  <si>
    <t>ADUBAÇÃO DE FORMAÇÃO DE PASTAGENS INTENSIVAS</t>
  </si>
  <si>
    <t>ADUBAÇÃO DE FORMAÇÃO DE PASTAGENS SEMI-INTENSIVAS</t>
  </si>
  <si>
    <t>ADUBAÇÃO DE MANUTENÇÃO DE PASTAGENS SEMI-INTENSIVAS</t>
  </si>
  <si>
    <t>Quantidade de fertilizantes:</t>
  </si>
  <si>
    <t xml:space="preserve">Adubação de manutenção: </t>
  </si>
  <si>
    <t>Nº animais/talhão:</t>
  </si>
  <si>
    <t>Nº de parcelamentos/ano:</t>
  </si>
  <si>
    <t>1º Opção:</t>
  </si>
  <si>
    <t>(Referente à 1º opção)</t>
  </si>
  <si>
    <t>2º Opção:</t>
  </si>
  <si>
    <t>ADUBAÇÃO DE PASTAGENS</t>
  </si>
  <si>
    <r>
      <t xml:space="preserve">Pastagens Semi-intensivas </t>
    </r>
    <r>
      <rPr>
        <sz val="12"/>
        <color rgb="FF663300"/>
        <rFont val="Arial"/>
        <family val="2"/>
      </rPr>
      <t>(Média tecnologia):</t>
    </r>
  </si>
  <si>
    <r>
      <t>Pastagens Intensivas</t>
    </r>
    <r>
      <rPr>
        <sz val="12"/>
        <color rgb="FF663300"/>
        <rFont val="Arial"/>
        <family val="2"/>
      </rPr>
      <t xml:space="preserve"> (Alta tecnologia - Piquete rotacionado ou Capineira):</t>
    </r>
  </si>
  <si>
    <t>ADUBAÇÃO DA CULTURA DO PEPINO</t>
  </si>
  <si>
    <t>ADUBAÇÃO DO PESSEGUEIRO</t>
  </si>
  <si>
    <r>
      <t xml:space="preserve">Primeira  aplicação:  </t>
    </r>
    <r>
      <rPr>
        <b/>
        <sz val="10"/>
        <rFont val="Arial"/>
        <family val="2"/>
      </rPr>
      <t xml:space="preserve">50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(no início do período chuvoso)</t>
    </r>
  </si>
  <si>
    <r>
      <t>Segunda aplicação:</t>
    </r>
    <r>
      <rPr>
        <b/>
        <sz val="10"/>
        <rFont val="Arial"/>
        <family val="2"/>
      </rPr>
      <t xml:space="preserve"> 100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primeira)</t>
    </r>
  </si>
  <si>
    <r>
      <t xml:space="preserve">Terceira aplicação: </t>
    </r>
    <r>
      <rPr>
        <b/>
        <sz val="10"/>
        <rFont val="Arial"/>
        <family val="2"/>
      </rPr>
      <t>150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segunda)</t>
    </r>
  </si>
  <si>
    <t>1) Adubação de terceiro ano:</t>
  </si>
  <si>
    <t>2) Adubação de quarto ano:</t>
  </si>
  <si>
    <t>3) Calagem:</t>
  </si>
  <si>
    <t>t/ha  (Ler observação 3).</t>
  </si>
  <si>
    <t>1) Adubação de Produção (quinto ano em diante):</t>
  </si>
  <si>
    <t>2) Calagem:</t>
  </si>
  <si>
    <t>ADUBAÇÃO DA CULTURA DA PIMENTA-DO-REINO</t>
  </si>
  <si>
    <t>t/ha (Ler observação 3)</t>
  </si>
  <si>
    <t>ADUBAÇÃO DA PUPUNHA</t>
  </si>
  <si>
    <t>Profundidade de incorporação</t>
  </si>
  <si>
    <t>Superfície de aplicação</t>
  </si>
  <si>
    <t>% da área de 1 ha</t>
  </si>
  <si>
    <r>
      <t xml:space="preserve">1) 20 dias após plantio: </t>
    </r>
    <r>
      <rPr>
        <b/>
        <sz val="10"/>
        <rFont val="Arial"/>
        <family val="2"/>
      </rPr>
      <t>20</t>
    </r>
    <r>
      <rPr>
        <sz val="10"/>
        <rFont val="Arial"/>
        <family val="2"/>
      </rPr>
      <t xml:space="preserve"> g/cova do formulado </t>
    </r>
    <r>
      <rPr>
        <b/>
        <sz val="10"/>
        <rFont val="Arial"/>
        <family val="2"/>
      </rPr>
      <t>20-00-20</t>
    </r>
  </si>
  <si>
    <r>
      <t xml:space="preserve">2) 50 dias após plantio: </t>
    </r>
    <r>
      <rPr>
        <b/>
        <sz val="10"/>
        <rFont val="Arial"/>
        <family val="2"/>
      </rPr>
      <t>30</t>
    </r>
    <r>
      <rPr>
        <sz val="10"/>
        <rFont val="Arial"/>
        <family val="2"/>
      </rPr>
      <t xml:space="preserve"> g/cova do formulado </t>
    </r>
    <r>
      <rPr>
        <b/>
        <sz val="10"/>
        <rFont val="Arial"/>
        <family val="2"/>
      </rPr>
      <t>20-00-20</t>
    </r>
  </si>
  <si>
    <r>
      <t xml:space="preserve">3) 80 dias após plantio: </t>
    </r>
    <r>
      <rPr>
        <b/>
        <sz val="10"/>
        <rFont val="Arial"/>
        <family val="2"/>
      </rPr>
      <t>40</t>
    </r>
    <r>
      <rPr>
        <sz val="10"/>
        <rFont val="Arial"/>
        <family val="2"/>
      </rPr>
      <t xml:space="preserve"> g/cova do formulado </t>
    </r>
    <r>
      <rPr>
        <b/>
        <sz val="10"/>
        <rFont val="Arial"/>
        <family val="2"/>
      </rPr>
      <t>20-00-20</t>
    </r>
  </si>
  <si>
    <t>Obs: Caso não se utilize esterco, aplicar 30 g/cova do formulado 20-00-20 ou similar.</t>
  </si>
  <si>
    <t>6 L de esterco de curral ou 2 L de esterco de galinha</t>
  </si>
  <si>
    <t>100 g de calcário dolomítico para cada tonelada recomendada por ha, até o máximo de 300g</t>
  </si>
  <si>
    <t>20 g de FTE</t>
  </si>
  <si>
    <t>t/ha (Ler observação 2)</t>
  </si>
  <si>
    <t xml:space="preserve">Quantidade de calcário: </t>
  </si>
  <si>
    <t>Espaçamento: 10 cm x 8 cm</t>
  </si>
  <si>
    <t>Espaçamento:  15 cm x 10 cm</t>
  </si>
  <si>
    <t>ADUBAÇÃO DO CAFÉ ARÁBICA  - Lavoura Recepada</t>
  </si>
  <si>
    <t>Após 30 dias:</t>
  </si>
  <si>
    <t>Na desbrota:</t>
  </si>
  <si>
    <t>Após 70 dias:</t>
  </si>
  <si>
    <t>Após 120 dias:</t>
  </si>
  <si>
    <r>
      <t xml:space="preserve">g/planta de </t>
    </r>
    <r>
      <rPr>
        <b/>
        <sz val="10"/>
        <rFont val="Arial"/>
        <family val="2"/>
      </rPr>
      <t>Supersimples</t>
    </r>
    <r>
      <rPr>
        <sz val="10"/>
        <rFont val="Arial"/>
        <family val="2"/>
      </rPr>
      <t xml:space="preserve"> </t>
    </r>
  </si>
  <si>
    <r>
      <t xml:space="preserve">g/planta de </t>
    </r>
    <r>
      <rPr>
        <b/>
        <sz val="10"/>
        <rFont val="Arial"/>
        <family val="2"/>
      </rPr>
      <t>FTE</t>
    </r>
  </si>
  <si>
    <t>ADUBAÇÃO DA SERINGUEIRA</t>
  </si>
  <si>
    <r>
      <t xml:space="preserve"> </t>
    </r>
    <r>
      <rPr>
        <b/>
        <sz val="10"/>
        <rFont val="Arial"/>
        <family val="2"/>
      </rPr>
      <t>80 g</t>
    </r>
    <r>
      <rPr>
        <sz val="10"/>
        <rFont val="Arial"/>
        <family val="2"/>
      </rPr>
      <t xml:space="preserve">  de</t>
    </r>
  </si>
  <si>
    <t>1º adubação (Setembro):</t>
  </si>
  <si>
    <r>
      <rPr>
        <b/>
        <sz val="10"/>
        <rFont val="Arial"/>
        <family val="2"/>
      </rPr>
      <t>100 g</t>
    </r>
    <r>
      <rPr>
        <sz val="10"/>
        <rFont val="Arial"/>
        <family val="2"/>
      </rPr>
      <t xml:space="preserve">  de</t>
    </r>
  </si>
  <si>
    <t>2º adubação (Novembro):</t>
  </si>
  <si>
    <r>
      <rPr>
        <b/>
        <sz val="10"/>
        <rFont val="Arial"/>
        <family val="2"/>
      </rPr>
      <t xml:space="preserve">150 g </t>
    </r>
    <r>
      <rPr>
        <sz val="10"/>
        <rFont val="Arial"/>
        <family val="2"/>
      </rPr>
      <t xml:space="preserve"> de</t>
    </r>
  </si>
  <si>
    <t xml:space="preserve">3º adubação (Janeiro):    </t>
  </si>
  <si>
    <t>2) Adubação de segundo e terceiro ano</t>
  </si>
  <si>
    <t>t/ha (Ler observação 3).</t>
  </si>
  <si>
    <t>1) Adubação do quarto ao sexto ano</t>
  </si>
  <si>
    <t>2) Adubação do sétimo ao décimo quinto ano</t>
  </si>
  <si>
    <t>1) Adubação do décimo sexto ano em diante</t>
  </si>
  <si>
    <t>aos 15, 30, 45 e 60 dias do plantio.</t>
  </si>
  <si>
    <t>aos 75, 90, 105 e 120 dias do plantio.</t>
  </si>
  <si>
    <t>ADUBAÇÃO DA CULTURA DA UVA</t>
  </si>
  <si>
    <t>2) Adubação de segundo ano:</t>
  </si>
  <si>
    <r>
      <t xml:space="preserve">Primeira  aplicação:  </t>
    </r>
    <r>
      <rPr>
        <b/>
        <sz val="10"/>
        <rFont val="Arial"/>
        <family val="2"/>
      </rPr>
      <t xml:space="preserve">30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(no início do período chuvoso).</t>
    </r>
  </si>
  <si>
    <r>
      <t xml:space="preserve">Segunda aplicação:  </t>
    </r>
    <r>
      <rPr>
        <b/>
        <sz val="10"/>
        <rFont val="Arial"/>
        <family val="2"/>
      </rPr>
      <t>60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primeira).</t>
    </r>
  </si>
  <si>
    <r>
      <t xml:space="preserve">Terceira aplicação: </t>
    </r>
    <r>
      <rPr>
        <b/>
        <sz val="10"/>
        <rFont val="Arial"/>
        <family val="2"/>
      </rPr>
      <t>100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segunda).</t>
    </r>
  </si>
  <si>
    <t>Click na opção desejada</t>
  </si>
  <si>
    <t>Adubação:</t>
  </si>
  <si>
    <t>m   x</t>
  </si>
  <si>
    <t>m   =</t>
  </si>
  <si>
    <t>ADUBAÇÃO DA NÊSPERA</t>
  </si>
  <si>
    <t>Click na opção desejada.</t>
  </si>
  <si>
    <t>ADUBAÇÃO DA NÊSPERA - 1 a 2 anos</t>
  </si>
  <si>
    <t>ADUBAÇÃO DA NÊSPERA - 3 a 4 anos</t>
  </si>
  <si>
    <t>m    =</t>
  </si>
  <si>
    <t>m    x</t>
  </si>
  <si>
    <r>
      <t xml:space="preserve">Primeira aplicação:   </t>
    </r>
    <r>
      <rPr>
        <b/>
        <sz val="10"/>
        <rFont val="Arial"/>
        <family val="2"/>
      </rPr>
      <t xml:space="preserve">50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(no início do período chuvoso)</t>
    </r>
  </si>
  <si>
    <r>
      <t xml:space="preserve">Terceira aplicação:  </t>
    </r>
    <r>
      <rPr>
        <b/>
        <sz val="10"/>
        <rFont val="Arial"/>
        <family val="2"/>
      </rPr>
      <t>150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segunda)</t>
    </r>
  </si>
  <si>
    <t>ADUBAÇÃO DA NECTARINA</t>
  </si>
  <si>
    <t>ADUBAÇÃO DA NÊSPERA - Produção (5° ano em diante)</t>
  </si>
  <si>
    <t>ADUBAÇÃO DA NECTARINA - Produção</t>
  </si>
  <si>
    <t>ADUBAÇÃO DA NECTARINA - 3 a 4 anos</t>
  </si>
  <si>
    <t>ADUBAÇÃO DO MORANGUEIRO</t>
  </si>
  <si>
    <t>FERTIRRIGAÇÃO NA CULTURA DO MORANGO (com N e K)</t>
  </si>
  <si>
    <t>ADUBAÇÃO DA CULTURA DO MORANGO - Viveiro</t>
  </si>
  <si>
    <t>ADUBAÇÃO DA CULTURA DO MORANGO - Produção</t>
  </si>
  <si>
    <t>ADUBAÇÃO DA MANGUEIRA</t>
  </si>
  <si>
    <t>ADUBAÇÃO DA CULTURA DA MACADÂMIA  - 1 a 2 anos</t>
  </si>
  <si>
    <t>ADUBAÇÃO DA CULTURA DA MACADÂMIA  - 3 a 4 anos</t>
  </si>
  <si>
    <t>ADUBAÇÃO DA CULTURA DA MACADÂMIA  - Produção</t>
  </si>
  <si>
    <t>ADUBAÇÃO DA CULTURA DO MAMÃO</t>
  </si>
  <si>
    <t>ADUBAÇÃO DA CULTURA DA MANGA - 1 a 2 anos</t>
  </si>
  <si>
    <t>ADUBAÇÃO DA CULTURA DA MANGA - 3 a 4 anos</t>
  </si>
  <si>
    <t>ADUBAÇÃO DA CULTURA DA MANGA - Produção</t>
  </si>
  <si>
    <t>ADUBAÇÃO DA CULTURA DA MANDIOCA</t>
  </si>
  <si>
    <t>ADUBAÇÃO DA CULTURA DA MANDIOQUINHA-SALSA</t>
  </si>
  <si>
    <t>ADUBAÇÃO DA CULTURA DO MARACUJA</t>
  </si>
  <si>
    <t>ADUBAÇÃO DA CULTURA DO MARACUJA - 1° ano</t>
  </si>
  <si>
    <t>ADUBAÇÃO DA CULTURA DO MARACUJA - Produção</t>
  </si>
  <si>
    <t>ADUBAÇÃO DA CULTURA DO MILHO</t>
  </si>
  <si>
    <t>ADUBAÇÃO DE CAFÉ CONILON</t>
  </si>
  <si>
    <t>Período:</t>
  </si>
  <si>
    <t>Época:</t>
  </si>
  <si>
    <t>Método:</t>
  </si>
  <si>
    <t>Obs:</t>
  </si>
  <si>
    <t>m     =</t>
  </si>
  <si>
    <t>ADUBAÇÃO DE CAFÉ CONILON  - Produção</t>
  </si>
  <si>
    <t>FERTIRRIGAÇÃO DO CAFÉ CONILON</t>
  </si>
  <si>
    <t>Identificação do setor:</t>
  </si>
  <si>
    <t>Quantidade de nutrientes exigido pela cultura em kg/ha/ano e kg/ano para o talhão de</t>
  </si>
  <si>
    <t>Dose mensal do macronutrientes (kg/talhão)</t>
  </si>
  <si>
    <t xml:space="preserve">Adubação do Café Conilon em Produção - Fertirrigação   </t>
  </si>
  <si>
    <r>
      <t>RAS</t>
    </r>
    <r>
      <rPr>
        <b/>
        <vertAlign val="superscript"/>
        <sz val="10"/>
        <rFont val="Arial"/>
        <family val="2"/>
      </rPr>
      <t>1/</t>
    </r>
  </si>
  <si>
    <r>
      <t>Ca</t>
    </r>
    <r>
      <rPr>
        <b/>
        <vertAlign val="superscript"/>
        <sz val="10"/>
        <rFont val="Arial"/>
        <family val="2"/>
      </rPr>
      <t>2+</t>
    </r>
  </si>
  <si>
    <r>
      <t>Mg</t>
    </r>
    <r>
      <rPr>
        <b/>
        <vertAlign val="superscript"/>
        <sz val="10"/>
        <rFont val="Arial"/>
        <family val="2"/>
      </rPr>
      <t>2+</t>
    </r>
  </si>
  <si>
    <r>
      <t>Na</t>
    </r>
    <r>
      <rPr>
        <b/>
        <vertAlign val="superscript"/>
        <sz val="10"/>
        <rFont val="Arial"/>
        <family val="2"/>
      </rPr>
      <t>+</t>
    </r>
  </si>
  <si>
    <r>
      <t>Fe</t>
    </r>
    <r>
      <rPr>
        <b/>
        <vertAlign val="superscript"/>
        <sz val="10"/>
        <rFont val="Arial"/>
        <family val="2"/>
      </rPr>
      <t>2+</t>
    </r>
  </si>
  <si>
    <r>
      <t>HCO</t>
    </r>
    <r>
      <rPr>
        <b/>
        <vertAlign val="subscript"/>
        <sz val="10"/>
        <rFont val="Arial"/>
        <family val="2"/>
      </rPr>
      <t>3</t>
    </r>
    <r>
      <rPr>
        <b/>
        <vertAlign val="superscript"/>
        <sz val="10"/>
        <rFont val="Arial"/>
        <family val="2"/>
      </rPr>
      <t>-</t>
    </r>
  </si>
  <si>
    <r>
      <t>SO</t>
    </r>
    <r>
      <rPr>
        <b/>
        <vertAlign val="subscript"/>
        <sz val="10"/>
        <rFont val="Arial"/>
        <family val="2"/>
      </rPr>
      <t>4</t>
    </r>
    <r>
      <rPr>
        <b/>
        <vertAlign val="superscript"/>
        <sz val="10"/>
        <rFont val="Arial"/>
        <family val="2"/>
      </rPr>
      <t>-</t>
    </r>
  </si>
  <si>
    <r>
      <t>CI</t>
    </r>
    <r>
      <rPr>
        <b/>
        <vertAlign val="superscript"/>
        <sz val="10"/>
        <rFont val="Arial"/>
        <family val="2"/>
      </rPr>
      <t>-</t>
    </r>
  </si>
  <si>
    <r>
      <t>1/</t>
    </r>
    <r>
      <rPr>
        <sz val="10"/>
        <rFont val="Arial"/>
        <family val="2"/>
      </rPr>
      <t>RAS = Razão de absorção de sódio = 1/[Na/(Ca + Mg)]</t>
    </r>
    <r>
      <rPr>
        <vertAlign val="superscript"/>
        <sz val="10"/>
        <rFont val="Arial"/>
        <family val="2"/>
      </rPr>
      <t>1/2</t>
    </r>
  </si>
  <si>
    <t>Digite as informações nas células em amarelo.</t>
  </si>
  <si>
    <t>Matéria Orgânica - MO (dag/kg)</t>
  </si>
  <si>
    <t>10 dias antes da poda:</t>
  </si>
  <si>
    <t>ADUBAÇÃO DA LICHIA</t>
  </si>
  <si>
    <t>ADUBAÇÃO DA LICHIA  - 1 a 2 anos</t>
  </si>
  <si>
    <t>ADUBAÇÃO DA LICHIA  - 3 a 4 anos</t>
  </si>
  <si>
    <t>ADUBAÇÃO DA LICHIA  - Produção</t>
  </si>
  <si>
    <t>ADUBAÇÃO DA CULTURA DO INHAME</t>
  </si>
  <si>
    <t>ADUBAÇÃO DA GRAVIOLA</t>
  </si>
  <si>
    <t>ADUBAÇÃO DA GRAVIOLA - 1 a 3 anos</t>
  </si>
  <si>
    <t>ADUBAÇÃO DA GRAVIOLA - Produção</t>
  </si>
  <si>
    <t>ADUBAÇÃO DA GOIABEIRA</t>
  </si>
  <si>
    <t>ADUBAÇÃO DA CULTURA DA GOIABA - 1 a 3 anos</t>
  </si>
  <si>
    <t>ADUBAÇÃO DA CULTURA DA GOIABA - Produção</t>
  </si>
  <si>
    <t>ADUBAÇÃO DA CULTURA DO GENGIBRE</t>
  </si>
  <si>
    <t>ADUBAÇÃO DA FIGUEIRA</t>
  </si>
  <si>
    <t>ADUBAÇÃO DA CULTURA DO FIGO - 1 a 2 anos</t>
  </si>
  <si>
    <t>ADUBAÇÃO DA CULTURA DO FIGO - 3 a 4 anos</t>
  </si>
  <si>
    <t>ADUBAÇÃO DA CULTURA DO FEIJÃO-VAGEM</t>
  </si>
  <si>
    <t>ADUBAÇÃO DA CULTURA DO FEIJÃO</t>
  </si>
  <si>
    <t>ADUBAÇÃO DA CULTURA DO EUCALIPTO</t>
  </si>
  <si>
    <t>ADUBAÇÃO DA CULTURA DA CANA-DE-AÇÚCAR</t>
  </si>
  <si>
    <t>g/m de sulco de Superfosfato Simples.</t>
  </si>
  <si>
    <t>ADUBAÇÃO DA CULTURA DA CEBOLA</t>
  </si>
  <si>
    <t>metros lineares/ha</t>
  </si>
  <si>
    <r>
      <t>g/m de sulco de</t>
    </r>
    <r>
      <rPr>
        <b/>
        <sz val="10"/>
        <rFont val="Arial"/>
        <family val="2"/>
      </rPr>
      <t xml:space="preserve"> FTE</t>
    </r>
  </si>
  <si>
    <t>ADUBAÇÃO DA CULTURA DA CEBOLINHA</t>
  </si>
  <si>
    <r>
      <t>L/m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de </t>
    </r>
    <r>
      <rPr>
        <b/>
        <sz val="10"/>
        <rFont val="Arial"/>
        <family val="2"/>
      </rPr>
      <t>Esterco bovino</t>
    </r>
  </si>
  <si>
    <t>ADUBAÇÃO DO CEDRO AUSTRALIANO</t>
  </si>
  <si>
    <t xml:space="preserve">t/ha </t>
  </si>
  <si>
    <t>150 g de superfosfato simples.</t>
  </si>
  <si>
    <t>100 g de calcário por tonelada recomendada por hectare até o máximo de 300 g.</t>
  </si>
  <si>
    <t>20 g de FTE.</t>
  </si>
  <si>
    <r>
      <t xml:space="preserve">2) 60 dias após plantio: 20 g/cova do formulado </t>
    </r>
    <r>
      <rPr>
        <b/>
        <sz val="10"/>
        <rFont val="Arial"/>
        <family val="2"/>
      </rPr>
      <t>20-00-20.</t>
    </r>
  </si>
  <si>
    <r>
      <t>1) 30 dias após plantio: 10 g/cova do formulado</t>
    </r>
    <r>
      <rPr>
        <b/>
        <sz val="10"/>
        <rFont val="Arial"/>
        <family val="2"/>
      </rPr>
      <t xml:space="preserve"> 20-00-20.</t>
    </r>
  </si>
  <si>
    <r>
      <t xml:space="preserve">3) 90 dias após plantio: 30 g/cova do formulado </t>
    </r>
    <r>
      <rPr>
        <b/>
        <sz val="10"/>
        <rFont val="Arial"/>
        <family val="2"/>
      </rPr>
      <t>20-00-20.</t>
    </r>
  </si>
  <si>
    <t>1) Calagem:</t>
  </si>
  <si>
    <t>2) Adubação de plantio (cova de 40 x 40 x 40 cm):</t>
  </si>
  <si>
    <t>3) Adubação de cobertura após plantio:</t>
  </si>
  <si>
    <t>4) Adubação de primeiro ano:</t>
  </si>
  <si>
    <t>5) Adubação de segundo ano</t>
  </si>
  <si>
    <t xml:space="preserve">6) Adubação de terceiro ano: </t>
  </si>
  <si>
    <t>7) A partir do quarto ano</t>
  </si>
  <si>
    <t>Aumentar as doses em 15 % ao ano.</t>
  </si>
  <si>
    <t>ADUBAÇÃO DA CULTURA DA CENORA</t>
  </si>
  <si>
    <r>
      <t>L/m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</t>
    </r>
    <r>
      <rPr>
        <b/>
        <sz val="10"/>
        <rFont val="Arial"/>
        <family val="2"/>
      </rPr>
      <t>Esterco bovino</t>
    </r>
  </si>
  <si>
    <r>
      <t>g/m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de </t>
    </r>
    <r>
      <rPr>
        <b/>
        <sz val="10"/>
        <rFont val="Arial"/>
        <family val="2"/>
      </rPr>
      <t>FTE</t>
    </r>
  </si>
  <si>
    <r>
      <t>Adubação por 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canteiro:</t>
    </r>
  </si>
  <si>
    <t>ADUBAÇÃO CULTURA DO CHUCHU</t>
  </si>
  <si>
    <t xml:space="preserve"> m     =</t>
  </si>
  <si>
    <t>g/cova de FTE.</t>
  </si>
  <si>
    <t>Aplicar 200 g de superfosfato simples 4 meses após o plantio e repetir esta dose 4 meses após a primeira.</t>
  </si>
  <si>
    <t>ADUBAÇÃO DA CULTURA DA COUVE-MANTEIGA</t>
  </si>
  <si>
    <t>m      =</t>
  </si>
  <si>
    <t>ADUBAÇÃO DA CULTURA DA COUVE-FLOR</t>
  </si>
  <si>
    <t>1) Adubação de plantio (cova de 40 x 40 x 40 cm)</t>
  </si>
  <si>
    <r>
      <t xml:space="preserve">150 g do formulado </t>
    </r>
    <r>
      <rPr>
        <b/>
        <sz val="10"/>
        <rFont val="Arial"/>
        <family val="2"/>
      </rPr>
      <t>4-30-10.</t>
    </r>
  </si>
  <si>
    <t>100 g de calcário dolomítico (somente para suprimento de Ca e Mg).</t>
  </si>
  <si>
    <t>2) Adubação de cobertura após plantio</t>
  </si>
  <si>
    <r>
      <t xml:space="preserve">1) 30 dias após plantio: </t>
    </r>
    <r>
      <rPr>
        <b/>
        <sz val="10"/>
        <rFont val="Arial"/>
        <family val="2"/>
      </rPr>
      <t xml:space="preserve">20 </t>
    </r>
    <r>
      <rPr>
        <sz val="10"/>
        <rFont val="Arial"/>
        <family val="2"/>
      </rPr>
      <t xml:space="preserve">g/cova do formulado </t>
    </r>
    <r>
      <rPr>
        <b/>
        <sz val="10"/>
        <rFont val="Arial"/>
        <family val="2"/>
      </rPr>
      <t>20-00-20.</t>
    </r>
  </si>
  <si>
    <r>
      <t xml:space="preserve">2) 60 dias após plantio: </t>
    </r>
    <r>
      <rPr>
        <b/>
        <sz val="10"/>
        <rFont val="Arial"/>
        <family val="2"/>
      </rPr>
      <t>30</t>
    </r>
    <r>
      <rPr>
        <sz val="10"/>
        <rFont val="Arial"/>
        <family val="2"/>
      </rPr>
      <t xml:space="preserve"> g/cova do formulado </t>
    </r>
    <r>
      <rPr>
        <b/>
        <sz val="10"/>
        <rFont val="Arial"/>
        <family val="2"/>
      </rPr>
      <t>20-00-20.</t>
    </r>
  </si>
  <si>
    <r>
      <t xml:space="preserve">3) 90 dias após plantio: </t>
    </r>
    <r>
      <rPr>
        <b/>
        <sz val="10"/>
        <rFont val="Arial"/>
        <family val="2"/>
      </rPr>
      <t>40</t>
    </r>
    <r>
      <rPr>
        <sz val="10"/>
        <rFont val="Arial"/>
        <family val="2"/>
      </rPr>
      <t xml:space="preserve"> g/cova do formulado </t>
    </r>
    <r>
      <rPr>
        <b/>
        <sz val="10"/>
        <rFont val="Arial"/>
        <family val="2"/>
      </rPr>
      <t>20-00-20.</t>
    </r>
  </si>
  <si>
    <t>3) Adubação de primeiro ano</t>
  </si>
  <si>
    <r>
      <t>Calagem</t>
    </r>
    <r>
      <rPr>
        <sz val="10"/>
        <rFont val="Arial"/>
        <family val="2"/>
      </rPr>
      <t>:</t>
    </r>
  </si>
  <si>
    <t>Manter o teor de Ca no solo acima de 1 cmolc/dm3 e de Mg acima de 0,2 cmolc/dm3.</t>
  </si>
  <si>
    <t>g/m de sulco de FTE.</t>
  </si>
  <si>
    <t>Litros/m de esterco bovino.</t>
  </si>
  <si>
    <t>g/m de Superfosfato Simples.</t>
  </si>
  <si>
    <t>g/m de FTE.</t>
  </si>
  <si>
    <t>(nas amontoas)</t>
  </si>
  <si>
    <t>m     x</t>
  </si>
  <si>
    <t>L de esterco bovino.</t>
  </si>
  <si>
    <t>g/m de Superfosfato Simples</t>
  </si>
  <si>
    <t>g/m de FTE</t>
  </si>
  <si>
    <t>ADUBAÇÃO DA CULTURA DO JILÓ</t>
  </si>
  <si>
    <t>g/cova  de Superfosfato Simples.</t>
  </si>
  <si>
    <t>2) Adubação de plantio (metro linear de sulco)</t>
  </si>
  <si>
    <t>30 g de FTE.</t>
  </si>
  <si>
    <t>4 L de esterco de curral ou 2 L de esterco de galinha ou 40 g do formulado 20-00-20.</t>
  </si>
  <si>
    <t>3) Adubação de formação e produção (g/planta/mês)</t>
  </si>
  <si>
    <t>1° mês:</t>
  </si>
  <si>
    <t>2° mês:</t>
  </si>
  <si>
    <t>3° mês:</t>
  </si>
  <si>
    <t>4° ao 8° mês:</t>
  </si>
  <si>
    <t>9° ao 14° mês:</t>
  </si>
  <si>
    <t>14° ao 18° mês:</t>
  </si>
  <si>
    <t>40 g de</t>
  </si>
  <si>
    <t>80 g de</t>
  </si>
  <si>
    <t>10 L de esterco por metro linear e 200 g de supersimples (amontoa)</t>
  </si>
  <si>
    <t>100 g de</t>
  </si>
  <si>
    <t>150 g de</t>
  </si>
  <si>
    <t>120 g de</t>
  </si>
  <si>
    <r>
      <t>Obs:</t>
    </r>
    <r>
      <rPr>
        <sz val="10"/>
        <rFont val="Arial"/>
        <family val="2"/>
      </rPr>
      <t xml:space="preserve"> Fazer monitoramento com análise foliar para evitar desbalanços.</t>
    </r>
  </si>
  <si>
    <t>Matéria Orgânica  - MO (dag/dm3)</t>
  </si>
  <si>
    <t>g/m de sulco de  FTE.</t>
  </si>
  <si>
    <t>g/m de sulco de  Superfosfato Simples.</t>
  </si>
  <si>
    <t>ADUBAÇÃO DO COQUEIRO</t>
  </si>
  <si>
    <t>ADUBAÇÃO DO CITRUS</t>
  </si>
  <si>
    <r>
      <t xml:space="preserve">1) 30 dias do plantio: </t>
    </r>
    <r>
      <rPr>
        <b/>
        <sz val="10"/>
        <rFont val="Arial"/>
        <family val="2"/>
      </rPr>
      <t xml:space="preserve">40 </t>
    </r>
    <r>
      <rPr>
        <sz val="10"/>
        <rFont val="Arial"/>
        <family val="2"/>
      </rPr>
      <t>g/cova de</t>
    </r>
  </si>
  <si>
    <r>
      <t xml:space="preserve">2) 80 dias do plantio: </t>
    </r>
    <r>
      <rPr>
        <b/>
        <sz val="10"/>
        <rFont val="Arial"/>
        <family val="2"/>
      </rPr>
      <t xml:space="preserve">60 </t>
    </r>
    <r>
      <rPr>
        <sz val="10"/>
        <rFont val="Arial"/>
        <family val="2"/>
      </rPr>
      <t>g/cova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</t>
    </r>
  </si>
  <si>
    <r>
      <t xml:space="preserve">3)130 dias do plantio: </t>
    </r>
    <r>
      <rPr>
        <b/>
        <sz val="10"/>
        <rFont val="Arial"/>
        <family val="2"/>
      </rPr>
      <t xml:space="preserve">80 </t>
    </r>
    <r>
      <rPr>
        <sz val="10"/>
        <rFont val="Arial"/>
        <family val="2"/>
      </rPr>
      <t>g/cova de</t>
    </r>
  </si>
  <si>
    <t>ADUBAÇÃO DA CULTURA DO CAQUI</t>
  </si>
  <si>
    <t>ADUBAÇÃO DA CULTURA DO CAQUI - 1 a 2 anos</t>
  </si>
  <si>
    <r>
      <t>2° aplicação:</t>
    </r>
    <r>
      <rPr>
        <b/>
        <sz val="10"/>
        <rFont val="Arial"/>
        <family val="2"/>
      </rPr>
      <t xml:space="preserve"> 100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primeira).</t>
    </r>
  </si>
  <si>
    <r>
      <t xml:space="preserve">3° aplicação: </t>
    </r>
    <r>
      <rPr>
        <b/>
        <sz val="10"/>
        <rFont val="Arial"/>
        <family val="2"/>
      </rPr>
      <t>150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segunda).</t>
    </r>
  </si>
  <si>
    <r>
      <t xml:space="preserve">1° aplicação:  </t>
    </r>
    <r>
      <rPr>
        <b/>
        <sz val="10"/>
        <rFont val="Arial"/>
        <family val="2"/>
      </rPr>
      <t xml:space="preserve">50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(no início do período chuvoso).</t>
    </r>
  </si>
  <si>
    <t xml:space="preserve">Uma aplicação de </t>
  </si>
  <si>
    <t>ADUBAÇÃO DA CULTURA DO CAQUI - 3 a 4 anos</t>
  </si>
  <si>
    <t>ADUBAÇÃO DA CULTURA DO CAQUI - Produção (5° ano em diante)</t>
  </si>
  <si>
    <t>3) Adubação de quinto ano</t>
  </si>
  <si>
    <t>4) Calagem</t>
  </si>
  <si>
    <t>ADUBAÇÃO DO CITRUS (Laranja, Limão, Tangerina) - 1 a 2 anos</t>
  </si>
  <si>
    <t>ADUBAÇÃO DO CITRUS (Laranja, Limão, Tangerina) - 3 a 5 anos</t>
  </si>
  <si>
    <t>ADUBAÇÃO DO CITRUS (Laranja, Limão, Tangerina) - Produção (6° anos em diante)</t>
  </si>
  <si>
    <t>caixas de 20 kg</t>
  </si>
  <si>
    <t>Produção/Planta:</t>
  </si>
  <si>
    <t>(n° caixas de 20 kg)</t>
  </si>
  <si>
    <t xml:space="preserve">Análise do solo:    </t>
  </si>
  <si>
    <t>t/ha (Ler observação 5)</t>
  </si>
  <si>
    <t>g/planta de Superfosfato Simples.</t>
  </si>
  <si>
    <r>
      <t xml:space="preserve">3 (três) aplicações de </t>
    </r>
    <r>
      <rPr>
        <b/>
        <sz val="10"/>
        <rFont val="Arial"/>
        <family val="2"/>
      </rPr>
      <t xml:space="preserve">200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20-00-20.</t>
    </r>
  </si>
  <si>
    <t>3) Adubação de terceiro ano</t>
  </si>
  <si>
    <t>t/ha (Ler obsevação 1)</t>
  </si>
  <si>
    <t>ADUBAÇÃO DO COQUEIRO - 1 a 3 anos</t>
  </si>
  <si>
    <t>ADUBAÇÃO DO COQUEIRO - 4 a 5 anos</t>
  </si>
  <si>
    <t>1) Adubação de quarto ano</t>
  </si>
  <si>
    <t xml:space="preserve"> t/ha (Ler observação 5)</t>
  </si>
  <si>
    <t>ADUBAÇÃO DO COQUEIRO - Produção (6° ano em diante)</t>
  </si>
  <si>
    <t>Uma  aplicação de</t>
  </si>
  <si>
    <r>
      <t xml:space="preserve">Primeira  aplicação :   </t>
    </r>
    <r>
      <rPr>
        <b/>
        <sz val="10"/>
        <rFont val="Arial"/>
        <family val="2"/>
      </rPr>
      <t xml:space="preserve">50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(no início do período chuvoso)</t>
    </r>
  </si>
  <si>
    <r>
      <t>Segunda aplicação :</t>
    </r>
    <r>
      <rPr>
        <b/>
        <sz val="10"/>
        <rFont val="Arial"/>
        <family val="2"/>
      </rPr>
      <t xml:space="preserve"> 100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primeira)</t>
    </r>
  </si>
  <si>
    <r>
      <t xml:space="preserve">Terceira  aplicação : </t>
    </r>
    <r>
      <rPr>
        <b/>
        <sz val="10"/>
        <rFont val="Arial"/>
        <family val="2"/>
      </rPr>
      <t>150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20-00-20</t>
    </r>
    <r>
      <rPr>
        <sz val="10"/>
        <rFont val="Arial"/>
        <family val="2"/>
      </rPr>
      <t xml:space="preserve"> (dois meses após a segunda)</t>
    </r>
  </si>
  <si>
    <t xml:space="preserve"> t/ha</t>
  </si>
  <si>
    <t>ADUBAÇÃO DA CULTURA DO FIGO - Produção (5° ano em diante)</t>
  </si>
  <si>
    <r>
      <t xml:space="preserve">Primeira  aplicação:   </t>
    </r>
    <r>
      <rPr>
        <b/>
        <sz val="10"/>
        <rFont val="Arial"/>
        <family val="2"/>
      </rPr>
      <t xml:space="preserve">50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(no início do período chuvoso)</t>
    </r>
  </si>
  <si>
    <r>
      <t>Segunda aplicação:</t>
    </r>
    <r>
      <rPr>
        <b/>
        <sz val="10"/>
        <rFont val="Arial"/>
        <family val="2"/>
      </rPr>
      <t xml:space="preserve"> 100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primeira)</t>
    </r>
  </si>
  <si>
    <r>
      <t xml:space="preserve">Terceira  aplicação: </t>
    </r>
    <r>
      <rPr>
        <b/>
        <sz val="10"/>
        <rFont val="Arial"/>
        <family val="2"/>
      </rPr>
      <t>200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segunda)</t>
    </r>
  </si>
  <si>
    <t>t/ha  (Ler observação 3)</t>
  </si>
  <si>
    <r>
      <t xml:space="preserve">Primeira  aplicação: </t>
    </r>
    <r>
      <rPr>
        <b/>
        <sz val="10"/>
        <rFont val="Arial"/>
        <family val="2"/>
      </rPr>
      <t xml:space="preserve">100 g/cova </t>
    </r>
    <r>
      <rPr>
        <sz val="10"/>
        <rFont val="Arial"/>
        <family val="2"/>
      </rPr>
      <t xml:space="preserve">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(no início do período chuvoso)</t>
    </r>
  </si>
  <si>
    <r>
      <t>Segunda aplicação:</t>
    </r>
    <r>
      <rPr>
        <b/>
        <sz val="10"/>
        <rFont val="Arial"/>
        <family val="2"/>
      </rPr>
      <t xml:space="preserve"> 120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primeira)</t>
    </r>
  </si>
  <si>
    <r>
      <t xml:space="preserve">Terceira  aplicação: </t>
    </r>
    <r>
      <rPr>
        <b/>
        <sz val="10"/>
        <rFont val="Arial"/>
        <family val="2"/>
      </rPr>
      <t>150 g/cova</t>
    </r>
    <r>
      <rPr>
        <sz val="10"/>
        <rFont val="Arial"/>
        <family val="2"/>
      </rPr>
      <t xml:space="preserve"> do formulado </t>
    </r>
    <r>
      <rPr>
        <b/>
        <sz val="10"/>
        <rFont val="Arial"/>
        <family val="2"/>
      </rPr>
      <t>20-0-20</t>
    </r>
    <r>
      <rPr>
        <sz val="10"/>
        <rFont val="Arial"/>
        <family val="2"/>
      </rPr>
      <t xml:space="preserve"> (dois meses após a segunda)</t>
    </r>
  </si>
  <si>
    <t>plantas</t>
  </si>
  <si>
    <t>t/ha  (Ler observação 4)</t>
  </si>
  <si>
    <t>Veja também:</t>
  </si>
  <si>
    <t>CAFÉ ARÁBICA - CUSTEIO SIMPLIFICADO POR TALHÃO</t>
  </si>
  <si>
    <t>CAFÉ CONILON - CUSTEIO SIMPLIFICADO POR TALHÃO</t>
  </si>
  <si>
    <t>CITRUS (Laranja, Limão, Tangerina) - CUSTEIO SIMPLIFICADO</t>
  </si>
  <si>
    <t>ADUBAÇÃO DA MACADÂMIA</t>
  </si>
  <si>
    <t>MACADÂMIA - CUSTEIO SIMPLIFICADO</t>
  </si>
  <si>
    <t>Dimensões da cova:</t>
  </si>
  <si>
    <t>cm    x</t>
  </si>
  <si>
    <t>Volume da cova (L)</t>
  </si>
  <si>
    <t>2) Aplicação na cova:</t>
  </si>
  <si>
    <t>4) Adubação de primeiro ano</t>
  </si>
  <si>
    <t>N° de parcelamentos do formulado:</t>
  </si>
  <si>
    <t>N° de parcelamentos do adubo fosfatado:</t>
  </si>
  <si>
    <r>
      <t>Litros/m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esterco bovino.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</si>
  <si>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FTE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</si>
  <si>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Superfosfato Simples.</t>
    </r>
  </si>
  <si>
    <t>K no formulado 1</t>
  </si>
  <si>
    <t>K no formulado 2</t>
  </si>
  <si>
    <t>Área cultivada:</t>
  </si>
  <si>
    <t>Número de aplicações por mês:</t>
  </si>
  <si>
    <t>Número total de aplicações durante o ciclo:</t>
  </si>
  <si>
    <t>cm   x</t>
  </si>
  <si>
    <t xml:space="preserve">Adubação de plantio </t>
  </si>
  <si>
    <r>
      <t>cmolc/dm</t>
    </r>
    <r>
      <rPr>
        <vertAlign val="superscript"/>
        <sz val="10"/>
        <rFont val="Arial"/>
        <family val="2"/>
      </rPr>
      <t>3</t>
    </r>
  </si>
  <si>
    <t xml:space="preserve">0,25 m  x  0,25 m </t>
  </si>
  <si>
    <t>Espaçamento: 0,80  a 1,00 m entre linhas com 12 a 15 sementes por metro de sulco.</t>
  </si>
  <si>
    <t xml:space="preserve">0,25 m  x  0,10 m </t>
  </si>
  <si>
    <t>0,25 m  x  0,10 m</t>
  </si>
  <si>
    <t>Culturas</t>
  </si>
  <si>
    <t>RecomendacaoMicro</t>
  </si>
  <si>
    <t>Fertirrigacao</t>
  </si>
  <si>
    <t>Utilidades</t>
  </si>
  <si>
    <t>FertirrigacaoGeral</t>
  </si>
  <si>
    <t>TabFertirrigacao</t>
  </si>
  <si>
    <t>CultivoOrg</t>
  </si>
  <si>
    <t>EspacamentoOrg</t>
  </si>
  <si>
    <t>ExigenciaN</t>
  </si>
  <si>
    <t>FertiOrg</t>
  </si>
  <si>
    <t>CultivoOrgGI</t>
  </si>
  <si>
    <t>Cultívo0rgG2</t>
  </si>
  <si>
    <t>Cultivo0rgG3</t>
  </si>
  <si>
    <t>Cultivo0rgG4</t>
  </si>
  <si>
    <t>CultivoOrgGS</t>
  </si>
  <si>
    <t>CultivoOrgPlantio</t>
  </si>
  <si>
    <t>CultivoOrgProducao</t>
  </si>
  <si>
    <t>CafeOrgProducao</t>
  </si>
  <si>
    <t>InterpretacaoAnalise</t>
  </si>
  <si>
    <t>Unidades</t>
  </si>
  <si>
    <t>CustoNutriente</t>
  </si>
  <si>
    <t>TeorFoliar</t>
  </si>
  <si>
    <t>Plantio1V70</t>
  </si>
  <si>
    <t>Plantio2V70</t>
  </si>
  <si>
    <t>Plantio3V70</t>
  </si>
  <si>
    <t>Plantio2V80</t>
  </si>
  <si>
    <t>Substrato</t>
  </si>
  <si>
    <t>PlantioForm</t>
  </si>
  <si>
    <t>Abacate1a2</t>
  </si>
  <si>
    <t>Abacate2a3</t>
  </si>
  <si>
    <t>AbacateProd</t>
  </si>
  <si>
    <t>AboboraRast</t>
  </si>
  <si>
    <t>AboboraMoita</t>
  </si>
  <si>
    <t>AcerolaForm</t>
  </si>
  <si>
    <t>AcerolaProd</t>
  </si>
  <si>
    <t>Algodão</t>
  </si>
  <si>
    <t>Ameixa1a2</t>
  </si>
  <si>
    <t>Ameixa3a4</t>
  </si>
  <si>
    <t>AmeíxaProd</t>
  </si>
  <si>
    <t>ArrozSequ</t>
  </si>
  <si>
    <t>Arrozlnun</t>
  </si>
  <si>
    <t>BananaPlan</t>
  </si>
  <si>
    <t>Bananaltfíg</t>
  </si>
  <si>
    <t>BananaNao</t>
  </si>
  <si>
    <t>Brocolis</t>
  </si>
  <si>
    <t>Bucha</t>
  </si>
  <si>
    <t>CacauPlan</t>
  </si>
  <si>
    <t>Cacau1a2</t>
  </si>
  <si>
    <t>CacauProd</t>
  </si>
  <si>
    <t>AmostragemCafe</t>
  </si>
  <si>
    <t>CafeArabica</t>
  </si>
  <si>
    <t>DoseARC</t>
  </si>
  <si>
    <t>ArabícaProd</t>
  </si>
  <si>
    <t>ArabicaRecep</t>
  </si>
  <si>
    <t>ArabicaCusteio</t>
  </si>
  <si>
    <t>InfoArabica</t>
  </si>
  <si>
    <t>CafeConílon</t>
  </si>
  <si>
    <t>ConilonProd</t>
  </si>
  <si>
    <t>ConílonFert</t>
  </si>
  <si>
    <t>ConilonCusteio</t>
  </si>
  <si>
    <t>InfoConílon</t>
  </si>
  <si>
    <t>Caqui</t>
  </si>
  <si>
    <t>Caqui1a2</t>
  </si>
  <si>
    <t>Caqui3a4</t>
  </si>
  <si>
    <t>CaquiProd</t>
  </si>
  <si>
    <t>CedroAust</t>
  </si>
  <si>
    <t>Citrus1a2</t>
  </si>
  <si>
    <t>Citrus3a5</t>
  </si>
  <si>
    <t>CitrusProd</t>
  </si>
  <si>
    <t>CitrusCusteio</t>
  </si>
  <si>
    <t>Coco4a5</t>
  </si>
  <si>
    <t>CocoProd</t>
  </si>
  <si>
    <t>Couve</t>
  </si>
  <si>
    <t>CouveFlor</t>
  </si>
  <si>
    <t>Feijao</t>
  </si>
  <si>
    <t>FeijaoVagem</t>
  </si>
  <si>
    <t>Figo1a2</t>
  </si>
  <si>
    <t>Figo3a4</t>
  </si>
  <si>
    <t>FígoProd</t>
  </si>
  <si>
    <t>Goiaba1a3</t>
  </si>
  <si>
    <t>GoiabaProd</t>
  </si>
  <si>
    <t>Graviola</t>
  </si>
  <si>
    <t>Graviola1a3</t>
  </si>
  <si>
    <t>GraviolaProd</t>
  </si>
  <si>
    <t>Inhame</t>
  </si>
  <si>
    <t>Jilo</t>
  </si>
  <si>
    <t>Lichia1a2</t>
  </si>
  <si>
    <t>Líchía3a4</t>
  </si>
  <si>
    <t>LichiaProd</t>
  </si>
  <si>
    <t>Macadamia</t>
  </si>
  <si>
    <t>Macadamia1a2</t>
  </si>
  <si>
    <t>Macadamia3a4</t>
  </si>
  <si>
    <t>MacadamiaProd</t>
  </si>
  <si>
    <t>MacadamiaCusteio</t>
  </si>
  <si>
    <t>Mamao</t>
  </si>
  <si>
    <t>Manga1a2</t>
  </si>
  <si>
    <t>Manga3a4</t>
  </si>
  <si>
    <t>MangaProd</t>
  </si>
  <si>
    <t>Mandioquinha</t>
  </si>
  <si>
    <t>Maracuja</t>
  </si>
  <si>
    <t>Maracuja1</t>
  </si>
  <si>
    <t>MaracujaProd</t>
  </si>
  <si>
    <t>MorangoViveiro</t>
  </si>
  <si>
    <t>MorangoProd</t>
  </si>
  <si>
    <t>MorangoFert</t>
  </si>
  <si>
    <t>Nectarina1a2</t>
  </si>
  <si>
    <t>Nectarina3a4</t>
  </si>
  <si>
    <t>NectarínaProd</t>
  </si>
  <si>
    <t>Nespera</t>
  </si>
  <si>
    <t>Nespera1a2</t>
  </si>
  <si>
    <t>Nespera3a4</t>
  </si>
  <si>
    <t>NesperaProd</t>
  </si>
  <si>
    <t>Pastagem</t>
  </si>
  <si>
    <t>PastoSemiForm</t>
  </si>
  <si>
    <t>PastoSemíManu</t>
  </si>
  <si>
    <t>PastolnteForm</t>
  </si>
  <si>
    <t>PastolnteManu</t>
  </si>
  <si>
    <t>Pessego1a2</t>
  </si>
  <si>
    <t>Pessego3a4</t>
  </si>
  <si>
    <t>PessegoProd</t>
  </si>
  <si>
    <t>Pimenta</t>
  </si>
  <si>
    <t>PimentaReino</t>
  </si>
  <si>
    <t>PimentaReinoProd</t>
  </si>
  <si>
    <t>PupunhaPlan</t>
  </si>
  <si>
    <t>PupunhaProd</t>
  </si>
  <si>
    <t>Seringueira1a3</t>
  </si>
  <si>
    <t>Seringueira4a15</t>
  </si>
  <si>
    <t>Seringueira15a</t>
  </si>
  <si>
    <t>Uva1a2</t>
  </si>
  <si>
    <t>UvaProd</t>
  </si>
  <si>
    <t>Inicial</t>
  </si>
  <si>
    <t>mg/kg de Mn</t>
  </si>
  <si>
    <t>mg/kg de Fe</t>
  </si>
  <si>
    <t>dag/kg de N</t>
  </si>
  <si>
    <t>dag/kg de P</t>
  </si>
  <si>
    <t>dag/kg de K</t>
  </si>
  <si>
    <t>dag/kg de Ca</t>
  </si>
  <si>
    <t>dag/kg de Mg</t>
  </si>
  <si>
    <t>dag/kg de S</t>
  </si>
  <si>
    <t>mg/kg de Zn</t>
  </si>
  <si>
    <t>mg/kg de B</t>
  </si>
  <si>
    <t>mg/kg de Cu</t>
  </si>
  <si>
    <t xml:space="preserve">        dos teores considerados adequados.</t>
  </si>
  <si>
    <t>Fonte: Prezotti e Guarçoni (2013, p.84)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</si>
</sst>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0.0"/>
    <numFmt numFmtId="166" formatCode="0.000"/>
    <numFmt numFmtId="167" formatCode="_(* #,##0_);_(* \(#,##0\);_(* &quot;-&quot;??_);_(@_)"/>
    <numFmt numFmtId="168" formatCode="0,000"/>
    <numFmt numFmtId="169" formatCode="#,##0.0_);\(#,##0.0\)"/>
  </numFmts>
  <fonts count="1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indexed="14"/>
      <name val="Arial"/>
      <family val="2"/>
    </font>
    <font>
      <b/>
      <sz val="24"/>
      <name val="Times New Roman"/>
      <family val="1"/>
    </font>
    <font>
      <sz val="12"/>
      <name val="Times New Roman"/>
      <family val="1"/>
    </font>
    <font>
      <u/>
      <sz val="11"/>
      <color indexed="12"/>
      <name val="Arial"/>
      <family val="2"/>
    </font>
    <font>
      <b/>
      <sz val="14"/>
      <color indexed="12"/>
      <name val="Arial"/>
      <family val="2"/>
    </font>
    <font>
      <sz val="12"/>
      <color indexed="14"/>
      <name val="Arial"/>
      <family val="2"/>
    </font>
    <font>
      <b/>
      <sz val="12"/>
      <color indexed="12"/>
      <name val="Arial"/>
      <family val="2"/>
    </font>
    <font>
      <sz val="14"/>
      <name val="Arial"/>
      <family val="2"/>
    </font>
    <font>
      <u/>
      <sz val="12"/>
      <color indexed="12"/>
      <name val="Arial"/>
      <family val="2"/>
    </font>
    <font>
      <sz val="14"/>
      <color indexed="12"/>
      <name val="Arial"/>
      <family val="2"/>
    </font>
    <font>
      <b/>
      <sz val="14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12"/>
      <color indexed="16"/>
      <name val="Arial"/>
      <family val="2"/>
    </font>
    <font>
      <b/>
      <sz val="12"/>
      <color indexed="14"/>
      <name val="Arial"/>
      <family val="2"/>
    </font>
    <font>
      <sz val="18"/>
      <color indexed="17"/>
      <name val="Arial"/>
      <family val="2"/>
    </font>
    <font>
      <b/>
      <sz val="18"/>
      <color indexed="17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18"/>
      <name val="Times New Roman"/>
      <family val="1"/>
    </font>
    <font>
      <sz val="18"/>
      <name val="Arial"/>
      <family val="2"/>
    </font>
    <font>
      <sz val="5"/>
      <name val="Arial"/>
      <family val="2"/>
    </font>
    <font>
      <sz val="8"/>
      <color indexed="10"/>
      <name val="Arial"/>
      <family val="2"/>
    </font>
    <font>
      <sz val="8"/>
      <color indexed="45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  <font>
      <vertAlign val="subscript"/>
      <sz val="10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  <font>
      <u/>
      <sz val="12"/>
      <color indexed="12"/>
      <name val="Arial"/>
      <family val="2"/>
    </font>
    <font>
      <sz val="9"/>
      <name val="Arial"/>
      <family val="2"/>
    </font>
    <font>
      <sz val="10"/>
      <color indexed="59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12"/>
      <name val="Arial"/>
      <family val="2"/>
    </font>
    <font>
      <b/>
      <vertAlign val="superscript"/>
      <sz val="12"/>
      <name val="Arial"/>
      <family val="2"/>
    </font>
    <font>
      <b/>
      <sz val="10"/>
      <color indexed="19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6"/>
      <name val="Arial"/>
      <family val="2"/>
    </font>
    <font>
      <sz val="11"/>
      <color indexed="17"/>
      <name val="Arial"/>
      <family val="2"/>
    </font>
    <font>
      <sz val="11"/>
      <color indexed="10"/>
      <name val="Arial"/>
      <family val="2"/>
    </font>
    <font>
      <i/>
      <u/>
      <sz val="10"/>
      <name val="Arial"/>
      <family val="2"/>
    </font>
    <font>
      <sz val="10"/>
      <color indexed="61"/>
      <name val="Arial"/>
      <family val="2"/>
    </font>
    <font>
      <b/>
      <sz val="14"/>
      <color rgb="FF0000CC"/>
      <name val="Arial"/>
      <family val="2"/>
    </font>
    <font>
      <i/>
      <sz val="11"/>
      <name val="Arial"/>
      <family val="2"/>
    </font>
    <font>
      <b/>
      <sz val="11"/>
      <color theme="9" tint="-0.499984740745262"/>
      <name val="Arial"/>
      <family val="2"/>
    </font>
    <font>
      <b/>
      <sz val="11"/>
      <color rgb="FF6600CC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rgb="FFFF0000"/>
      <name val="Arial"/>
      <family val="2"/>
    </font>
    <font>
      <sz val="12"/>
      <name val="Cambria"/>
      <family val="1"/>
    </font>
    <font>
      <b/>
      <u/>
      <sz val="10"/>
      <color indexed="12"/>
      <name val="Arial"/>
      <family val="2"/>
    </font>
    <font>
      <b/>
      <sz val="13"/>
      <color indexed="18"/>
      <name val="Arial"/>
      <family val="2"/>
    </font>
    <font>
      <vertAlign val="superscript"/>
      <sz val="11"/>
      <name val="Arial"/>
      <family val="2"/>
    </font>
    <font>
      <sz val="10"/>
      <color indexed="20"/>
      <name val="Arial"/>
      <family val="2"/>
    </font>
    <font>
      <b/>
      <sz val="14"/>
      <color rgb="FF663300"/>
      <name val="Arial"/>
      <family val="2"/>
    </font>
    <font>
      <b/>
      <sz val="13"/>
      <color rgb="FF663300"/>
      <name val="Arial"/>
      <family val="2"/>
    </font>
    <font>
      <b/>
      <sz val="12"/>
      <color rgb="FF663300"/>
      <name val="Arial"/>
      <family val="2"/>
    </font>
    <font>
      <vertAlign val="subscript"/>
      <sz val="11"/>
      <name val="Arial"/>
      <family val="2"/>
    </font>
    <font>
      <b/>
      <vertAlign val="subscript"/>
      <sz val="11"/>
      <color indexed="16"/>
      <name val="Arial"/>
      <family val="2"/>
    </font>
    <font>
      <b/>
      <sz val="11"/>
      <color indexed="17"/>
      <name val="Arial"/>
      <family val="2"/>
    </font>
    <font>
      <sz val="11"/>
      <color indexed="56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2"/>
      <color rgb="FF0000FF"/>
      <name val="Arial"/>
      <family val="2"/>
    </font>
    <font>
      <sz val="14"/>
      <color rgb="FF66330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Arial"/>
      <family val="2"/>
    </font>
    <font>
      <b/>
      <sz val="8"/>
      <name val="Arial"/>
      <family val="2"/>
    </font>
    <font>
      <b/>
      <sz val="10"/>
      <color rgb="FF663300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indexed="45"/>
      <name val="Arial"/>
      <family val="2"/>
    </font>
    <font>
      <sz val="12"/>
      <color rgb="FF663300"/>
      <name val="Arial"/>
      <family val="2"/>
    </font>
    <font>
      <sz val="10"/>
      <color rgb="FF663300"/>
      <name val="Arial"/>
      <family val="2"/>
    </font>
    <font>
      <sz val="10"/>
      <color rgb="FF0000FF"/>
      <name val="Arial"/>
      <family val="2"/>
    </font>
    <font>
      <sz val="11"/>
      <color rgb="FF0000FF"/>
      <name val="Arial"/>
      <family val="2"/>
    </font>
    <font>
      <b/>
      <i/>
      <u/>
      <sz val="10"/>
      <name val="Arial"/>
      <family val="2"/>
    </font>
    <font>
      <b/>
      <sz val="11"/>
      <color rgb="FF663300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99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895">
    <xf numFmtId="0" fontId="0" fillId="0" borderId="0" xfId="0"/>
    <xf numFmtId="0" fontId="2" fillId="4" borderId="3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0" fillId="4" borderId="3" xfId="2" applyNumberFormat="1" applyFont="1" applyFill="1" applyBorder="1" applyAlignment="1" applyProtection="1">
      <alignment horizontal="center" vertical="center"/>
      <protection locked="0"/>
    </xf>
    <xf numFmtId="165" fontId="0" fillId="4" borderId="3" xfId="0" applyNumberFormat="1" applyFill="1" applyBorder="1" applyAlignment="1" applyProtection="1">
      <alignment horizontal="center"/>
      <protection locked="0"/>
    </xf>
    <xf numFmtId="3" fontId="0" fillId="4" borderId="3" xfId="0" applyNumberForma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0" fontId="2" fillId="4" borderId="3" xfId="2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vertical="center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39" fontId="2" fillId="4" borderId="3" xfId="2" applyNumberFormat="1" applyFont="1" applyFill="1" applyBorder="1" applyAlignment="1" applyProtection="1">
      <alignment horizontal="center" vertic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39" fontId="0" fillId="4" borderId="3" xfId="2" applyNumberFormat="1" applyFont="1" applyFill="1" applyBorder="1" applyAlignment="1" applyProtection="1">
      <alignment horizontal="center"/>
      <protection locked="0"/>
    </xf>
    <xf numFmtId="0" fontId="0" fillId="4" borderId="3" xfId="2" applyNumberFormat="1" applyFont="1" applyFill="1" applyBorder="1" applyAlignment="1" applyProtection="1">
      <alignment horizontal="center"/>
      <protection locked="0"/>
    </xf>
    <xf numFmtId="3" fontId="0" fillId="4" borderId="3" xfId="2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top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0" fillId="2" borderId="0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33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10" fillId="0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18" fillId="0" borderId="0" xfId="0" applyFont="1" applyFill="1" applyProtection="1">
      <protection hidden="1"/>
    </xf>
    <xf numFmtId="0" fontId="15" fillId="0" borderId="0" xfId="1" applyFont="1" applyFill="1" applyAlignment="1" applyProtection="1">
      <protection hidden="1"/>
    </xf>
    <xf numFmtId="0" fontId="24" fillId="0" borderId="0" xfId="0" applyFont="1" applyFill="1" applyBorder="1" applyAlignment="1" applyProtection="1">
      <alignment horizontal="center"/>
      <protection hidden="1"/>
    </xf>
    <xf numFmtId="0" fontId="29" fillId="0" borderId="0" xfId="0" applyFont="1" applyFill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Alignment="1" applyProtection="1">
      <protection hidden="1"/>
    </xf>
    <xf numFmtId="0" fontId="2" fillId="0" borderId="0" xfId="0" quotePrefix="1" applyFont="1" applyFill="1" applyProtection="1">
      <protection hidden="1"/>
    </xf>
    <xf numFmtId="0" fontId="15" fillId="0" borderId="0" xfId="1" applyFill="1" applyAlignment="1" applyProtection="1">
      <alignment horizontal="center"/>
      <protection hidden="1"/>
    </xf>
    <xf numFmtId="0" fontId="26" fillId="0" borderId="0" xfId="1" applyFont="1" applyFill="1" applyAlignment="1" applyProtection="1">
      <protection hidden="1"/>
    </xf>
    <xf numFmtId="0" fontId="34" fillId="0" borderId="0" xfId="0" applyFont="1" applyFill="1" applyAlignment="1" applyProtection="1">
      <protection hidden="1"/>
    </xf>
    <xf numFmtId="0" fontId="13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1" fillId="0" borderId="0" xfId="0" applyFont="1" applyFill="1" applyAlignment="1">
      <alignment horizontal="center"/>
    </xf>
    <xf numFmtId="0" fontId="2" fillId="0" borderId="0" xfId="0" applyFont="1" applyFill="1" applyProtection="1"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8" fillId="0" borderId="0" xfId="0" applyFont="1" applyFill="1" applyAlignment="1" applyProtection="1">
      <protection hidden="1"/>
    </xf>
    <xf numFmtId="0" fontId="11" fillId="0" borderId="0" xfId="0" applyFont="1" applyFill="1" applyAlignment="1" applyProtection="1">
      <alignment horizontal="center" vertical="center"/>
      <protection hidden="1"/>
    </xf>
    <xf numFmtId="0" fontId="109" fillId="0" borderId="0" xfId="0" applyFont="1" applyFill="1" applyAlignment="1" applyProtection="1">
      <alignment vertical="center"/>
      <protection hidden="1"/>
    </xf>
    <xf numFmtId="0" fontId="54" fillId="0" borderId="0" xfId="1" applyFont="1" applyFill="1" applyAlignment="1" applyProtection="1">
      <protection hidden="1"/>
    </xf>
    <xf numFmtId="0" fontId="2" fillId="0" borderId="18" xfId="0" applyFont="1" applyFill="1" applyBorder="1" applyAlignment="1" applyProtection="1">
      <alignment vertical="center"/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15" fillId="0" borderId="0" xfId="1" applyFill="1" applyAlignment="1" applyProtection="1">
      <alignment horizontal="left"/>
      <protection hidden="1"/>
    </xf>
    <xf numFmtId="0" fontId="18" fillId="0" borderId="0" xfId="0" applyFont="1" applyFill="1" applyAlignment="1" applyProtection="1">
      <alignment horizontal="center"/>
      <protection hidden="1"/>
    </xf>
    <xf numFmtId="0" fontId="56" fillId="0" borderId="0" xfId="0" applyFont="1" applyFill="1" applyProtection="1">
      <protection hidden="1"/>
    </xf>
    <xf numFmtId="0" fontId="0" fillId="0" borderId="0" xfId="0" applyFill="1" applyAlignment="1" applyProtection="1">
      <protection hidden="1"/>
    </xf>
    <xf numFmtId="0" fontId="34" fillId="0" borderId="0" xfId="0" applyFont="1" applyFill="1" applyAlignment="1" applyProtection="1">
      <alignment vertical="center"/>
      <protection hidden="1"/>
    </xf>
    <xf numFmtId="0" fontId="87" fillId="0" borderId="0" xfId="0" applyFont="1" applyFill="1" applyAlignment="1" applyProtection="1">
      <alignment vertical="center"/>
      <protection hidden="1"/>
    </xf>
    <xf numFmtId="0" fontId="11" fillId="0" borderId="18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vertical="top" wrapText="1"/>
      <protection hidden="1"/>
    </xf>
    <xf numFmtId="0" fontId="87" fillId="0" borderId="0" xfId="0" applyFont="1" applyFill="1" applyBorder="1" applyAlignment="1" applyProtection="1">
      <alignment vertical="center"/>
      <protection hidden="1"/>
    </xf>
    <xf numFmtId="0" fontId="84" fillId="0" borderId="0" xfId="0" applyFont="1" applyFill="1" applyBorder="1" applyAlignment="1" applyProtection="1">
      <alignment vertical="center"/>
      <protection hidden="1"/>
    </xf>
    <xf numFmtId="0" fontId="29" fillId="0" borderId="0" xfId="0" applyFont="1" applyFill="1" applyBorder="1" applyProtection="1">
      <protection hidden="1"/>
    </xf>
    <xf numFmtId="0" fontId="26" fillId="0" borderId="0" xfId="1" applyFont="1" applyFill="1" applyBorder="1" applyAlignment="1" applyProtection="1">
      <alignment vertical="center"/>
      <protection hidden="1"/>
    </xf>
    <xf numFmtId="0" fontId="26" fillId="0" borderId="0" xfId="1" applyFont="1" applyFill="1" applyBorder="1" applyAlignment="1" applyProtection="1">
      <alignment horizontal="center" vertical="center"/>
      <protection hidden="1"/>
    </xf>
    <xf numFmtId="0" fontId="75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protection hidden="1"/>
    </xf>
    <xf numFmtId="0" fontId="3" fillId="0" borderId="0" xfId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15" fillId="0" borderId="0" xfId="1" applyFill="1" applyAlignment="1" applyProtection="1">
      <alignment vertical="center"/>
      <protection hidden="1"/>
    </xf>
    <xf numFmtId="0" fontId="83" fillId="0" borderId="0" xfId="1" applyFont="1" applyFill="1" applyAlignment="1" applyProtection="1">
      <alignment vertical="center"/>
      <protection hidden="1"/>
    </xf>
    <xf numFmtId="0" fontId="26" fillId="0" borderId="0" xfId="1" applyFont="1" applyFill="1" applyAlignment="1" applyProtection="1">
      <alignment vertical="center"/>
      <protection hidden="1"/>
    </xf>
    <xf numFmtId="0" fontId="26" fillId="0" borderId="10" xfId="1" applyFont="1" applyFill="1" applyBorder="1" applyAlignment="1" applyProtection="1">
      <alignment horizontal="left" vertical="center"/>
      <protection hidden="1"/>
    </xf>
    <xf numFmtId="0" fontId="26" fillId="0" borderId="1" xfId="1" applyFont="1" applyFill="1" applyBorder="1" applyAlignment="1" applyProtection="1">
      <alignment horizontal="left" vertical="center"/>
      <protection hidden="1"/>
    </xf>
    <xf numFmtId="0" fontId="0" fillId="0" borderId="1" xfId="0" applyFill="1" applyBorder="1" applyAlignment="1" applyProtection="1">
      <alignment vertical="center"/>
      <protection hidden="1"/>
    </xf>
    <xf numFmtId="0" fontId="0" fillId="0" borderId="11" xfId="0" applyFill="1" applyBorder="1" applyAlignment="1" applyProtection="1">
      <alignment vertical="center"/>
      <protection hidden="1"/>
    </xf>
    <xf numFmtId="0" fontId="17" fillId="0" borderId="8" xfId="0" applyFont="1" applyFill="1" applyBorder="1" applyAlignment="1" applyProtection="1">
      <alignment horizontal="left" indent="2"/>
      <protection hidden="1"/>
    </xf>
    <xf numFmtId="0" fontId="70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12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0" fillId="0" borderId="8" xfId="0" applyFill="1" applyBorder="1" applyAlignment="1" applyProtection="1">
      <alignment vertical="center"/>
      <protection hidden="1"/>
    </xf>
    <xf numFmtId="0" fontId="0" fillId="0" borderId="13" xfId="0" applyFill="1" applyBorder="1" applyAlignment="1" applyProtection="1">
      <alignment vertical="center"/>
      <protection hidden="1"/>
    </xf>
    <xf numFmtId="0" fontId="0" fillId="0" borderId="2" xfId="0" applyFill="1" applyBorder="1" applyAlignment="1" applyProtection="1">
      <alignment vertical="center"/>
      <protection hidden="1"/>
    </xf>
    <xf numFmtId="0" fontId="0" fillId="0" borderId="14" xfId="0" applyFill="1" applyBorder="1" applyAlignment="1" applyProtection="1">
      <alignment vertical="center"/>
      <protection hidden="1"/>
    </xf>
    <xf numFmtId="0" fontId="17" fillId="0" borderId="4" xfId="0" applyFont="1" applyFill="1" applyBorder="1" applyAlignment="1" applyProtection="1">
      <alignment vertical="center"/>
      <protection hidden="1"/>
    </xf>
    <xf numFmtId="0" fontId="17" fillId="0" borderId="4" xfId="1" applyFont="1" applyFill="1" applyBorder="1" applyAlignment="1" applyProtection="1">
      <protection hidden="1"/>
    </xf>
    <xf numFmtId="0" fontId="13" fillId="0" borderId="0" xfId="0" applyFont="1" applyFill="1" applyAlignment="1" applyProtection="1">
      <alignment horizontal="left" vertical="center" indent="2"/>
      <protection hidden="1"/>
    </xf>
    <xf numFmtId="0" fontId="13" fillId="0" borderId="0" xfId="0" applyFont="1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1" applyFont="1" applyFill="1" applyAlignment="1" applyProtection="1">
      <alignment horizontal="center" vertical="center"/>
      <protection hidden="1"/>
    </xf>
    <xf numFmtId="0" fontId="48" fillId="0" borderId="0" xfId="1" applyFont="1" applyFill="1" applyAlignment="1" applyProtection="1">
      <alignment vertical="center"/>
      <protection hidden="1"/>
    </xf>
    <xf numFmtId="0" fontId="13" fillId="0" borderId="2" xfId="0" applyFont="1" applyFill="1" applyBorder="1" applyAlignment="1" applyProtection="1">
      <alignment horizontal="left" vertical="center" indent="2"/>
      <protection hidden="1"/>
    </xf>
    <xf numFmtId="0" fontId="13" fillId="0" borderId="2" xfId="0" applyFont="1" applyFill="1" applyBorder="1" applyAlignment="1" applyProtection="1">
      <alignment vertical="center"/>
      <protection hidden="1"/>
    </xf>
    <xf numFmtId="0" fontId="48" fillId="0" borderId="2" xfId="1" applyFont="1" applyFill="1" applyBorder="1" applyAlignment="1" applyProtection="1">
      <alignment vertical="center"/>
      <protection hidden="1"/>
    </xf>
    <xf numFmtId="0" fontId="13" fillId="0" borderId="2" xfId="1" applyFont="1" applyFill="1" applyBorder="1" applyAlignment="1" applyProtection="1">
      <alignment horizontal="center" vertical="center"/>
      <protection hidden="1"/>
    </xf>
    <xf numFmtId="0" fontId="13" fillId="0" borderId="2" xfId="0" applyFont="1" applyFill="1" applyBorder="1" applyProtection="1">
      <protection hidden="1"/>
    </xf>
    <xf numFmtId="0" fontId="67" fillId="0" borderId="0" xfId="0" applyFont="1" applyFill="1" applyAlignment="1" applyProtection="1">
      <alignment horizontal="center"/>
      <protection hidden="1"/>
    </xf>
    <xf numFmtId="0" fontId="25" fillId="0" borderId="0" xfId="0" applyFont="1" applyFill="1" applyAlignment="1" applyProtection="1">
      <alignment vertical="center"/>
      <protection hidden="1"/>
    </xf>
    <xf numFmtId="0" fontId="97" fillId="0" borderId="0" xfId="0" applyFont="1" applyFill="1" applyAlignment="1" applyProtection="1">
      <alignment vertical="center"/>
      <protection hidden="1"/>
    </xf>
    <xf numFmtId="0" fontId="17" fillId="0" borderId="4" xfId="0" applyFont="1" applyFill="1" applyBorder="1" applyAlignment="1" applyProtection="1">
      <alignment horizontal="left" vertical="center" indent="2"/>
      <protection hidden="1"/>
    </xf>
    <xf numFmtId="0" fontId="62" fillId="0" borderId="0" xfId="1" applyFont="1" applyFill="1" applyAlignment="1" applyProtection="1">
      <alignment vertical="center"/>
      <protection hidden="1"/>
    </xf>
    <xf numFmtId="0" fontId="21" fillId="0" borderId="0" xfId="1" applyFont="1" applyFill="1" applyAlignment="1" applyProtection="1">
      <protection hidden="1"/>
    </xf>
    <xf numFmtId="0" fontId="13" fillId="0" borderId="0" xfId="1" applyFont="1" applyFill="1" applyAlignment="1" applyProtection="1">
      <alignment vertical="center"/>
      <protection hidden="1"/>
    </xf>
    <xf numFmtId="0" fontId="13" fillId="0" borderId="2" xfId="1" applyFont="1" applyFill="1" applyBorder="1" applyAlignment="1" applyProtection="1">
      <alignment vertical="center"/>
      <protection hidden="1"/>
    </xf>
    <xf numFmtId="0" fontId="13" fillId="0" borderId="0" xfId="1" applyFont="1" applyFill="1" applyAlignment="1" applyProtection="1">
      <protection hidden="1"/>
    </xf>
    <xf numFmtId="0" fontId="66" fillId="0" borderId="0" xfId="0" applyFont="1" applyFill="1" applyProtection="1">
      <protection hidden="1"/>
    </xf>
    <xf numFmtId="0" fontId="67" fillId="0" borderId="0" xfId="0" applyFont="1" applyFill="1" applyProtection="1">
      <protection hidden="1"/>
    </xf>
    <xf numFmtId="0" fontId="68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64" fillId="0" borderId="0" xfId="0" applyFont="1" applyFill="1" applyBorder="1" applyAlignment="1" applyProtection="1">
      <alignment vertical="center"/>
      <protection hidden="1"/>
    </xf>
    <xf numFmtId="0" fontId="95" fillId="0" borderId="1" xfId="0" applyFont="1" applyFill="1" applyBorder="1" applyAlignment="1" applyProtection="1">
      <alignment horizontal="center" vertical="center"/>
      <protection hidden="1"/>
    </xf>
    <xf numFmtId="0" fontId="94" fillId="0" borderId="2" xfId="0" applyFont="1" applyFill="1" applyBorder="1" applyAlignment="1" applyProtection="1">
      <alignment vertical="center"/>
      <protection hidden="1"/>
    </xf>
    <xf numFmtId="0" fontId="94" fillId="0" borderId="2" xfId="0" applyFont="1" applyFill="1" applyBorder="1" applyAlignment="1" applyProtection="1">
      <alignment horizontal="center" vertical="center"/>
      <protection hidden="1"/>
    </xf>
    <xf numFmtId="0" fontId="58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3" fillId="0" borderId="2" xfId="0" applyFont="1" applyFill="1" applyBorder="1" applyAlignment="1" applyProtection="1">
      <alignment horizontal="center" vertical="center"/>
      <protection hidden="1"/>
    </xf>
    <xf numFmtId="0" fontId="27" fillId="0" borderId="0" xfId="0" applyFont="1" applyFill="1" applyProtection="1">
      <protection hidden="1"/>
    </xf>
    <xf numFmtId="0" fontId="27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3" fillId="5" borderId="0" xfId="0" applyFont="1" applyFill="1" applyAlignment="1" applyProtection="1">
      <alignment horizontal="center" vertical="center"/>
      <protection hidden="1"/>
    </xf>
    <xf numFmtId="0" fontId="13" fillId="5" borderId="0" xfId="0" applyFont="1" applyFill="1" applyBorder="1" applyAlignment="1" applyProtection="1">
      <alignment vertical="center"/>
      <protection hidden="1"/>
    </xf>
    <xf numFmtId="0" fontId="17" fillId="0" borderId="1" xfId="0" applyFont="1" applyFill="1" applyBorder="1" applyAlignment="1" applyProtection="1">
      <alignment vertical="center"/>
      <protection hidden="1"/>
    </xf>
    <xf numFmtId="0" fontId="17" fillId="0" borderId="2" xfId="0" applyFont="1" applyFill="1" applyBorder="1" applyAlignment="1" applyProtection="1">
      <alignment vertical="center"/>
      <protection hidden="1"/>
    </xf>
    <xf numFmtId="0" fontId="13" fillId="5" borderId="2" xfId="0" applyFont="1" applyFill="1" applyBorder="1" applyAlignment="1" applyProtection="1">
      <alignment vertical="center"/>
      <protection hidden="1"/>
    </xf>
    <xf numFmtId="0" fontId="99" fillId="0" borderId="0" xfId="0" applyFont="1" applyFill="1" applyBorder="1" applyAlignment="1" applyProtection="1">
      <alignment vertical="center" wrapText="1"/>
      <protection hidden="1"/>
    </xf>
    <xf numFmtId="0" fontId="99" fillId="0" borderId="0" xfId="0" applyFont="1" applyFill="1" applyBorder="1" applyAlignment="1" applyProtection="1">
      <alignment horizontal="center" vertical="center" wrapText="1"/>
      <protection hidden="1"/>
    </xf>
    <xf numFmtId="16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98" fillId="0" borderId="0" xfId="0" applyFont="1" applyFill="1" applyBorder="1" applyAlignment="1" applyProtection="1">
      <alignment vertical="center" wrapText="1"/>
      <protection hidden="1"/>
    </xf>
    <xf numFmtId="17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5" borderId="0" xfId="0" applyFont="1" applyFill="1" applyAlignment="1" applyProtection="1">
      <alignment vertical="center"/>
      <protection hidden="1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Fill="1" applyBorder="1" applyAlignment="1" applyProtection="1">
      <alignment horizontal="center" vertical="center" wrapText="1"/>
      <protection hidden="1"/>
    </xf>
    <xf numFmtId="2" fontId="2" fillId="5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/>
      <protection hidden="1"/>
    </xf>
    <xf numFmtId="0" fontId="17" fillId="0" borderId="4" xfId="0" applyFont="1" applyFill="1" applyBorder="1" applyProtection="1">
      <protection hidden="1"/>
    </xf>
    <xf numFmtId="0" fontId="13" fillId="0" borderId="4" xfId="0" applyFont="1" applyFill="1" applyBorder="1" applyProtection="1">
      <protection hidden="1"/>
    </xf>
    <xf numFmtId="0" fontId="17" fillId="0" borderId="4" xfId="0" applyFont="1" applyFill="1" applyBorder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right" vertical="center"/>
      <protection hidden="1"/>
    </xf>
    <xf numFmtId="0" fontId="13" fillId="0" borderId="2" xfId="0" applyFont="1" applyFill="1" applyBorder="1" applyAlignment="1" applyProtection="1">
      <alignment horizontal="center"/>
      <protection hidden="1"/>
    </xf>
    <xf numFmtId="0" fontId="17" fillId="0" borderId="0" xfId="0" applyFont="1" applyFill="1" applyAlignment="1" applyProtection="1">
      <protection hidden="1"/>
    </xf>
    <xf numFmtId="0" fontId="49" fillId="0" borderId="0" xfId="0" applyFont="1" applyFill="1" applyProtection="1">
      <protection hidden="1"/>
    </xf>
    <xf numFmtId="0" fontId="50" fillId="0" borderId="0" xfId="0" applyFont="1" applyFill="1" applyBorder="1" applyAlignment="1" applyProtection="1">
      <alignment horizontal="center" vertical="top" wrapText="1"/>
      <protection hidden="1"/>
    </xf>
    <xf numFmtId="0" fontId="13" fillId="0" borderId="0" xfId="0" applyNumberFormat="1" applyFont="1" applyFill="1" applyAlignment="1" applyProtection="1">
      <alignment horizontal="center" vertical="top" wrapText="1"/>
      <protection hidden="1"/>
    </xf>
    <xf numFmtId="0" fontId="1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2" xfId="0" applyFill="1" applyBorder="1" applyProtection="1">
      <protection hidden="1"/>
    </xf>
    <xf numFmtId="0" fontId="17" fillId="0" borderId="1" xfId="0" applyFont="1" applyFill="1" applyBorder="1" applyProtection="1">
      <protection hidden="1"/>
    </xf>
    <xf numFmtId="0" fontId="13" fillId="0" borderId="1" xfId="0" applyFont="1" applyFill="1" applyBorder="1" applyProtection="1">
      <protection hidden="1"/>
    </xf>
    <xf numFmtId="0" fontId="17" fillId="0" borderId="4" xfId="0" applyFont="1" applyFill="1" applyBorder="1" applyAlignment="1" applyProtection="1">
      <alignment horizontal="right"/>
      <protection hidden="1"/>
    </xf>
    <xf numFmtId="0" fontId="17" fillId="0" borderId="2" xfId="0" applyFont="1" applyFill="1" applyBorder="1" applyProtection="1">
      <protection hidden="1"/>
    </xf>
    <xf numFmtId="0" fontId="17" fillId="0" borderId="2" xfId="0" applyFont="1" applyFill="1" applyBorder="1" applyAlignment="1" applyProtection="1">
      <alignment horizontal="center"/>
      <protection hidden="1"/>
    </xf>
    <xf numFmtId="0" fontId="14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65" fillId="0" borderId="0" xfId="0" applyFont="1" applyFill="1" applyAlignment="1" applyProtection="1">
      <protection hidden="1"/>
    </xf>
    <xf numFmtId="0" fontId="65" fillId="0" borderId="0" xfId="0" applyFont="1" applyFill="1" applyAlignment="1" applyProtection="1">
      <alignment horizontal="center"/>
      <protection hidden="1"/>
    </xf>
    <xf numFmtId="0" fontId="8" fillId="0" borderId="2" xfId="0" applyFont="1" applyFill="1" applyBorder="1" applyAlignment="1" applyProtection="1">
      <protection hidden="1"/>
    </xf>
    <xf numFmtId="0" fontId="14" fillId="0" borderId="2" xfId="0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Alignment="1" applyProtection="1">
      <alignment horizontal="left"/>
      <protection hidden="1"/>
    </xf>
    <xf numFmtId="0" fontId="86" fillId="0" borderId="0" xfId="0" applyFont="1" applyFill="1" applyAlignment="1" applyProtection="1">
      <alignment horizontal="left"/>
      <protection hidden="1"/>
    </xf>
    <xf numFmtId="0" fontId="30" fillId="0" borderId="0" xfId="0" applyFont="1" applyFill="1" applyBorder="1" applyAlignment="1" applyProtection="1">
      <alignment vertical="center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28" fillId="0" borderId="0" xfId="0" applyFont="1" applyFill="1" applyBorder="1" applyAlignment="1" applyProtection="1">
      <alignment horizontal="left" vertical="center"/>
      <protection hidden="1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Alignment="1" applyProtection="1">
      <alignment vertical="center"/>
      <protection hidden="1"/>
    </xf>
    <xf numFmtId="0" fontId="31" fillId="0" borderId="0" xfId="0" applyFont="1" applyFill="1" applyBorder="1" applyAlignment="1" applyProtection="1">
      <alignment horizontal="center" vertical="center"/>
      <protection hidden="1"/>
    </xf>
    <xf numFmtId="0" fontId="31" fillId="0" borderId="0" xfId="0" applyFont="1" applyFill="1" applyAlignment="1" applyProtection="1">
      <alignment horizontal="center" vertical="center"/>
      <protection hidden="1"/>
    </xf>
    <xf numFmtId="0" fontId="89" fillId="0" borderId="0" xfId="0" applyFont="1" applyFill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10" fillId="0" borderId="2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  <protection hidden="1"/>
    </xf>
    <xf numFmtId="2" fontId="0" fillId="5" borderId="2" xfId="0" applyNumberFormat="1" applyFill="1" applyBorder="1" applyAlignment="1" applyProtection="1">
      <alignment horizontal="center" vertical="center"/>
      <protection hidden="1"/>
    </xf>
    <xf numFmtId="1" fontId="0" fillId="5" borderId="2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right" vertical="center"/>
      <protection hidden="1"/>
    </xf>
    <xf numFmtId="0" fontId="32" fillId="0" borderId="0" xfId="0" applyFont="1" applyFill="1" applyBorder="1" applyAlignment="1" applyProtection="1">
      <alignment vertical="center"/>
      <protection hidden="1"/>
    </xf>
    <xf numFmtId="0" fontId="23" fillId="0" borderId="0" xfId="0" applyFont="1" applyFill="1" applyAlignment="1" applyProtection="1">
      <alignment vertical="center"/>
      <protection hidden="1"/>
    </xf>
    <xf numFmtId="49" fontId="0" fillId="5" borderId="0" xfId="0" applyNumberForma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5" borderId="2" xfId="0" applyNumberForma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right" vertical="center"/>
      <protection hidden="1"/>
    </xf>
    <xf numFmtId="49" fontId="32" fillId="0" borderId="0" xfId="0" applyNumberFormat="1" applyFont="1" applyFill="1" applyBorder="1" applyAlignment="1" applyProtection="1">
      <alignment vertical="center"/>
      <protection hidden="1"/>
    </xf>
    <xf numFmtId="49" fontId="0" fillId="0" borderId="0" xfId="0" applyNumberFormat="1" applyFill="1" applyBorder="1" applyAlignment="1" applyProtection="1">
      <alignment vertical="center"/>
      <protection hidden="1"/>
    </xf>
    <xf numFmtId="49" fontId="0" fillId="0" borderId="2" xfId="0" applyNumberFormat="1" applyFill="1" applyBorder="1" applyAlignment="1" applyProtection="1">
      <alignment horizontal="center" vertical="center"/>
      <protection hidden="1"/>
    </xf>
    <xf numFmtId="49" fontId="2" fillId="5" borderId="0" xfId="0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Border="1" applyAlignment="1" applyProtection="1">
      <alignment vertical="center"/>
      <protection hidden="1"/>
    </xf>
    <xf numFmtId="0" fontId="8" fillId="5" borderId="2" xfId="0" applyFont="1" applyFill="1" applyBorder="1" applyAlignment="1" applyProtection="1">
      <alignment vertical="center"/>
      <protection hidden="1"/>
    </xf>
    <xf numFmtId="49" fontId="2" fillId="5" borderId="2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Border="1" applyProtection="1">
      <protection hidden="1"/>
    </xf>
    <xf numFmtId="0" fontId="15" fillId="0" borderId="0" xfId="1" applyFill="1" applyAlignment="1" applyProtection="1"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0" fillId="0" borderId="0" xfId="0" applyNumberFormat="1" applyFill="1" applyAlignment="1" applyProtection="1">
      <alignment horizontal="center"/>
      <protection hidden="1"/>
    </xf>
    <xf numFmtId="0" fontId="38" fillId="0" borderId="0" xfId="0" applyFont="1" applyFill="1" applyBorder="1" applyProtection="1">
      <protection hidden="1"/>
    </xf>
    <xf numFmtId="0" fontId="37" fillId="0" borderId="0" xfId="0" applyFont="1" applyFill="1" applyProtection="1">
      <protection hidden="1"/>
    </xf>
    <xf numFmtId="2" fontId="0" fillId="0" borderId="0" xfId="0" applyNumberFormat="1" applyFill="1" applyProtection="1">
      <protection hidden="1"/>
    </xf>
    <xf numFmtId="0" fontId="5" fillId="0" borderId="0" xfId="0" applyFont="1" applyFill="1" applyProtection="1">
      <protection hidden="1"/>
    </xf>
    <xf numFmtId="0" fontId="42" fillId="0" borderId="0" xfId="0" applyFont="1" applyFill="1" applyBorder="1" applyProtection="1">
      <protection hidden="1"/>
    </xf>
    <xf numFmtId="0" fontId="43" fillId="0" borderId="0" xfId="0" applyFont="1" applyFill="1" applyBorder="1" applyProtection="1">
      <protection hidden="1"/>
    </xf>
    <xf numFmtId="0" fontId="8" fillId="0" borderId="4" xfId="0" applyFont="1" applyFill="1" applyBorder="1" applyProtection="1">
      <protection hidden="1"/>
    </xf>
    <xf numFmtId="0" fontId="8" fillId="0" borderId="4" xfId="0" applyFont="1" applyFill="1" applyBorder="1" applyAlignment="1" applyProtection="1"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left"/>
      <protection hidden="1"/>
    </xf>
    <xf numFmtId="165" fontId="8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1" fontId="8" fillId="0" borderId="0" xfId="2" applyNumberFormat="1" applyFont="1" applyFill="1" applyBorder="1" applyAlignment="1" applyProtection="1">
      <alignment horizontal="center"/>
      <protection hidden="1"/>
    </xf>
    <xf numFmtId="1" fontId="8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8" fillId="0" borderId="0" xfId="0" applyFont="1" applyFill="1" applyBorder="1" applyAlignment="1" applyProtection="1">
      <alignment horizontal="right" vertical="center"/>
      <protection hidden="1"/>
    </xf>
    <xf numFmtId="3" fontId="0" fillId="4" borderId="3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hidden="1"/>
    </xf>
    <xf numFmtId="0" fontId="0" fillId="0" borderId="3" xfId="0" applyFill="1" applyBorder="1" applyAlignment="1" applyProtection="1">
      <alignment horizontal="center"/>
      <protection hidden="1"/>
    </xf>
    <xf numFmtId="0" fontId="0" fillId="0" borderId="3" xfId="0" applyFill="1" applyBorder="1" applyProtection="1">
      <protection hidden="1"/>
    </xf>
    <xf numFmtId="0" fontId="87" fillId="0" borderId="0" xfId="0" applyFont="1" applyFill="1" applyBorder="1" applyAlignment="1" applyProtection="1">
      <alignment horizontal="center" vertical="center"/>
      <protection hidden="1"/>
    </xf>
    <xf numFmtId="0" fontId="87" fillId="0" borderId="18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87" fillId="0" borderId="0" xfId="0" applyFont="1" applyFill="1" applyAlignment="1" applyProtection="1">
      <alignment horizontal="center" vertical="center"/>
      <protection hidden="1"/>
    </xf>
    <xf numFmtId="0" fontId="17" fillId="0" borderId="4" xfId="0" applyFont="1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/>
      <protection locked="0"/>
    </xf>
    <xf numFmtId="0" fontId="17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vertical="center" wrapText="1"/>
      <protection hidden="1"/>
    </xf>
    <xf numFmtId="0" fontId="2" fillId="5" borderId="0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Fill="1" applyBorder="1" applyAlignment="1" applyProtection="1">
      <alignment horizontal="center" vertical="center" wrapText="1"/>
      <protection hidden="1"/>
    </xf>
    <xf numFmtId="17" fontId="13" fillId="5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top" wrapText="1"/>
      <protection hidden="1"/>
    </xf>
    <xf numFmtId="0" fontId="13" fillId="0" borderId="2" xfId="0" applyFont="1" applyFill="1" applyBorder="1" applyAlignment="1" applyProtection="1">
      <alignment horizontal="center" vertical="top" wrapText="1"/>
      <protection hidden="1"/>
    </xf>
    <xf numFmtId="0" fontId="17" fillId="0" borderId="4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2" fillId="0" borderId="18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4" fillId="0" borderId="0" xfId="0" applyFont="1" applyFill="1" applyProtection="1"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1" fontId="5" fillId="0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1" fontId="8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5" fillId="0" borderId="3" xfId="0" applyFont="1" applyFill="1" applyBorder="1" applyAlignment="1" applyProtection="1">
      <alignment horizontal="center"/>
      <protection hidden="1"/>
    </xf>
    <xf numFmtId="1" fontId="5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left"/>
      <protection hidden="1"/>
    </xf>
    <xf numFmtId="0" fontId="0" fillId="0" borderId="0" xfId="0" applyFill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vertical="center"/>
      <protection hidden="1"/>
    </xf>
    <xf numFmtId="165" fontId="8" fillId="0" borderId="3" xfId="0" applyNumberFormat="1" applyFont="1" applyFill="1" applyBorder="1" applyAlignment="1" applyProtection="1">
      <alignment horizontal="center"/>
      <protection hidden="1"/>
    </xf>
    <xf numFmtId="165" fontId="8" fillId="0" borderId="0" xfId="0" applyNumberFormat="1" applyFont="1" applyFill="1" applyAlignment="1" applyProtection="1">
      <alignment horizontal="center"/>
      <protection hidden="1"/>
    </xf>
    <xf numFmtId="0" fontId="16" fillId="0" borderId="0" xfId="0" applyFont="1" applyFill="1" applyProtection="1">
      <protection hidden="1"/>
    </xf>
    <xf numFmtId="168" fontId="0" fillId="0" borderId="0" xfId="0" applyNumberFormat="1" applyFill="1" applyAlignment="1" applyProtection="1">
      <alignment horizontal="center"/>
      <protection hidden="1"/>
    </xf>
    <xf numFmtId="165" fontId="0" fillId="0" borderId="0" xfId="0" applyNumberFormat="1" applyFill="1" applyBorder="1" applyAlignment="1" applyProtection="1">
      <alignment horizontal="center"/>
      <protection hidden="1"/>
    </xf>
    <xf numFmtId="0" fontId="11" fillId="0" borderId="0" xfId="0" applyFont="1" applyFill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13" fillId="0" borderId="0" xfId="0" applyFont="1" applyFill="1" applyBorder="1" applyAlignment="1" applyProtection="1">
      <alignment horizontal="left"/>
      <protection hidden="1"/>
    </xf>
    <xf numFmtId="0" fontId="5" fillId="0" borderId="0" xfId="0" applyFont="1" applyFill="1" applyAlignment="1" applyProtection="1">
      <protection hidden="1"/>
    </xf>
    <xf numFmtId="0" fontId="44" fillId="0" borderId="0" xfId="0" applyFont="1" applyFill="1" applyProtection="1">
      <protection hidden="1"/>
    </xf>
    <xf numFmtId="0" fontId="0" fillId="0" borderId="0" xfId="0" applyFill="1" applyBorder="1" applyAlignment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justify"/>
      <protection hidden="1"/>
    </xf>
    <xf numFmtId="0" fontId="11" fillId="0" borderId="0" xfId="0" applyFont="1" applyFill="1" applyAlignment="1" applyProtection="1">
      <protection hidden="1"/>
    </xf>
    <xf numFmtId="0" fontId="8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Alignment="1" applyProtection="1">
      <alignment horizontal="left"/>
      <protection hidden="1"/>
    </xf>
    <xf numFmtId="0" fontId="4" fillId="0" borderId="0" xfId="0" applyFont="1" applyFill="1" applyBorder="1" applyProtection="1">
      <protection hidden="1"/>
    </xf>
    <xf numFmtId="1" fontId="2" fillId="0" borderId="0" xfId="0" applyNumberFormat="1" applyFont="1" applyFill="1" applyProtection="1">
      <protection hidden="1"/>
    </xf>
    <xf numFmtId="1" fontId="0" fillId="0" borderId="0" xfId="0" applyNumberFormat="1" applyFill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1" fontId="0" fillId="0" borderId="0" xfId="0" applyNumberFormat="1" applyFill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165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1" fontId="8" fillId="0" borderId="0" xfId="0" applyNumberFormat="1" applyFont="1" applyFill="1" applyProtection="1">
      <protection hidden="1"/>
    </xf>
    <xf numFmtId="0" fontId="8" fillId="0" borderId="0" xfId="0" applyFont="1" applyFill="1" applyBorder="1" applyAlignment="1" applyProtection="1">
      <protection hidden="1"/>
    </xf>
    <xf numFmtId="0" fontId="5" fillId="0" borderId="0" xfId="0" applyFont="1" applyFill="1" applyBorder="1" applyAlignment="1" applyProtection="1">
      <alignment horizontal="justify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alignment horizontal="left"/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1" fontId="2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protection hidden="1"/>
    </xf>
    <xf numFmtId="0" fontId="8" fillId="0" borderId="1" xfId="0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hidden="1"/>
    </xf>
    <xf numFmtId="1" fontId="8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Font="1" applyFill="1" applyBorder="1" applyProtection="1">
      <protection hidden="1"/>
    </xf>
    <xf numFmtId="0" fontId="8" fillId="0" borderId="2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21" fillId="0" borderId="0" xfId="1" applyFont="1" applyFill="1" applyBorder="1" applyAlignment="1" applyProtection="1">
      <protection hidden="1"/>
    </xf>
    <xf numFmtId="0" fontId="3" fillId="0" borderId="0" xfId="0" applyFont="1" applyFill="1" applyAlignment="1" applyProtection="1">
      <alignment horizontal="left"/>
      <protection hidden="1"/>
    </xf>
    <xf numFmtId="1" fontId="8" fillId="0" borderId="2" xfId="0" applyNumberFormat="1" applyFont="1" applyFill="1" applyBorder="1" applyAlignment="1" applyProtection="1">
      <alignment horizontal="center"/>
      <protection hidden="1"/>
    </xf>
    <xf numFmtId="0" fontId="5" fillId="0" borderId="2" xfId="0" applyFont="1" applyFill="1" applyBorder="1" applyProtection="1">
      <protection hidden="1"/>
    </xf>
    <xf numFmtId="0" fontId="4" fillId="0" borderId="2" xfId="0" applyFont="1" applyFill="1" applyBorder="1" applyAlignment="1" applyProtection="1">
      <alignment horizontal="center"/>
      <protection hidden="1"/>
    </xf>
    <xf numFmtId="1" fontId="0" fillId="0" borderId="2" xfId="0" applyNumberFormat="1" applyFill="1" applyBorder="1" applyAlignment="1" applyProtection="1">
      <alignment horizontal="center"/>
      <protection hidden="1"/>
    </xf>
    <xf numFmtId="0" fontId="4" fillId="0" borderId="2" xfId="0" applyFont="1" applyFill="1" applyBorder="1" applyProtection="1">
      <protection hidden="1"/>
    </xf>
    <xf numFmtId="0" fontId="0" fillId="0" borderId="2" xfId="0" applyFill="1" applyBorder="1" applyAlignment="1" applyProtection="1">
      <alignment horizontal="center"/>
      <protection hidden="1"/>
    </xf>
    <xf numFmtId="1" fontId="0" fillId="0" borderId="2" xfId="0" applyNumberFormat="1" applyFill="1" applyBorder="1" applyProtection="1">
      <protection hidden="1"/>
    </xf>
    <xf numFmtId="14" fontId="0" fillId="0" borderId="0" xfId="0" applyNumberFormat="1" applyFill="1" applyAlignment="1" applyProtection="1">
      <protection hidden="1"/>
    </xf>
    <xf numFmtId="0" fontId="2" fillId="0" borderId="2" xfId="0" applyFont="1" applyFill="1" applyBorder="1" applyAlignment="1" applyProtection="1">
      <alignment horizontal="left"/>
      <protection hidden="1"/>
    </xf>
    <xf numFmtId="1" fontId="2" fillId="0" borderId="2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46" fillId="0" borderId="0" xfId="0" applyFont="1" applyFill="1" applyAlignment="1" applyProtection="1">
      <alignment vertical="center"/>
      <protection hidden="1"/>
    </xf>
    <xf numFmtId="1" fontId="2" fillId="0" borderId="0" xfId="0" applyNumberFormat="1" applyFont="1" applyFill="1" applyAlignment="1" applyProtection="1">
      <alignment horizontal="center"/>
      <protection hidden="1"/>
    </xf>
    <xf numFmtId="1" fontId="2" fillId="0" borderId="2" xfId="0" applyNumberFormat="1" applyFont="1" applyFill="1" applyBorder="1" applyAlignment="1" applyProtection="1">
      <alignment horizontal="center"/>
      <protection hidden="1"/>
    </xf>
    <xf numFmtId="1" fontId="2" fillId="0" borderId="0" xfId="0" applyNumberFormat="1" applyFont="1" applyFill="1" applyBorder="1" applyAlignment="1" applyProtection="1">
      <alignment horizontal="left"/>
      <protection hidden="1"/>
    </xf>
    <xf numFmtId="165" fontId="2" fillId="0" borderId="0" xfId="0" applyNumberFormat="1" applyFon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justify"/>
      <protection hidden="1"/>
    </xf>
    <xf numFmtId="0" fontId="12" fillId="0" borderId="0" xfId="0" applyFont="1" applyFill="1" applyProtection="1">
      <protection hidden="1"/>
    </xf>
    <xf numFmtId="0" fontId="12" fillId="0" borderId="0" xfId="0" applyFont="1" applyFill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left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right" vertical="center"/>
      <protection hidden="1"/>
    </xf>
    <xf numFmtId="0" fontId="88" fillId="0" borderId="0" xfId="0" applyFont="1" applyFill="1" applyBorder="1" applyAlignment="1" applyProtection="1">
      <alignment vertical="center"/>
      <protection hidden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vertical="center"/>
      <protection hidden="1"/>
    </xf>
    <xf numFmtId="0" fontId="8" fillId="0" borderId="2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8" fillId="0" borderId="12" xfId="0" applyFont="1" applyFill="1" applyBorder="1" applyAlignment="1" applyProtection="1">
      <alignment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Protection="1">
      <protection hidden="1"/>
    </xf>
    <xf numFmtId="0" fontId="22" fillId="0" borderId="0" xfId="0" applyFont="1" applyFill="1" applyAlignment="1" applyProtection="1">
      <protection hidden="1"/>
    </xf>
    <xf numFmtId="0" fontId="48" fillId="0" borderId="0" xfId="0" applyFont="1" applyFill="1" applyAlignment="1" applyProtection="1">
      <alignment horizontal="center"/>
      <protection hidden="1"/>
    </xf>
    <xf numFmtId="3" fontId="17" fillId="0" borderId="0" xfId="2" applyNumberFormat="1" applyFont="1" applyFill="1" applyAlignment="1" applyProtection="1">
      <alignment horizontal="center" vertical="center"/>
      <protection hidden="1"/>
    </xf>
    <xf numFmtId="0" fontId="59" fillId="0" borderId="0" xfId="0" applyFont="1" applyFill="1" applyProtection="1">
      <protection hidden="1"/>
    </xf>
    <xf numFmtId="0" fontId="59" fillId="0" borderId="1" xfId="0" applyFont="1" applyFill="1" applyBorder="1" applyAlignment="1" applyProtection="1">
      <alignment vertical="center"/>
      <protection hidden="1"/>
    </xf>
    <xf numFmtId="0" fontId="59" fillId="0" borderId="1" xfId="0" applyFont="1" applyFill="1" applyBorder="1" applyAlignment="1" applyProtection="1">
      <alignment horizontal="center" vertical="center"/>
      <protection hidden="1"/>
    </xf>
    <xf numFmtId="0" fontId="83" fillId="0" borderId="0" xfId="1" applyFont="1" applyFill="1" applyAlignment="1" applyProtection="1">
      <alignment horizont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69" fillId="0" borderId="0" xfId="0" applyFont="1" applyFill="1" applyAlignment="1" applyProtection="1">
      <alignment horizontal="center" vertical="center"/>
      <protection hidden="1"/>
    </xf>
    <xf numFmtId="0" fontId="92" fillId="0" borderId="0" xfId="0" applyFont="1" applyFill="1" applyAlignment="1" applyProtection="1">
      <alignment vertical="center"/>
      <protection hidden="1"/>
    </xf>
    <xf numFmtId="0" fontId="93" fillId="0" borderId="2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right" vertical="center"/>
      <protection hidden="1"/>
    </xf>
    <xf numFmtId="0" fontId="15" fillId="0" borderId="0" xfId="1" applyFont="1" applyFill="1" applyBorder="1" applyAlignment="1" applyProtection="1">
      <protection hidden="1"/>
    </xf>
    <xf numFmtId="0" fontId="55" fillId="0" borderId="0" xfId="0" applyFont="1" applyFill="1" applyProtection="1">
      <protection hidden="1"/>
    </xf>
    <xf numFmtId="0" fontId="15" fillId="0" borderId="0" xfId="1" applyFont="1" applyFill="1" applyAlignment="1" applyProtection="1">
      <alignment horizontal="left"/>
      <protection hidden="1"/>
    </xf>
    <xf numFmtId="0" fontId="55" fillId="0" borderId="0" xfId="0" applyFont="1" applyFill="1" applyAlignment="1" applyProtection="1">
      <alignment horizontal="center"/>
      <protection hidden="1"/>
    </xf>
    <xf numFmtId="165" fontId="0" fillId="0" borderId="0" xfId="0" applyNumberFormat="1" applyFill="1" applyAlignment="1" applyProtection="1">
      <alignment horizontal="center"/>
      <protection hidden="1"/>
    </xf>
    <xf numFmtId="0" fontId="8" fillId="0" borderId="4" xfId="0" applyFont="1" applyFill="1" applyBorder="1" applyAlignment="1" applyProtection="1">
      <alignment vertical="center"/>
      <protection hidden="1"/>
    </xf>
    <xf numFmtId="0" fontId="57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55" fillId="0" borderId="0" xfId="0" applyFont="1" applyFill="1" applyBorder="1" applyAlignment="1" applyProtection="1">
      <alignment horizontal="left"/>
      <protection hidden="1"/>
    </xf>
    <xf numFmtId="0" fontId="55" fillId="0" borderId="0" xfId="0" applyFont="1" applyFill="1" applyBorder="1" applyProtection="1">
      <protection hidden="1"/>
    </xf>
    <xf numFmtId="3" fontId="60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ill="1" applyAlignment="1" applyProtection="1">
      <alignment horizontal="center"/>
      <protection hidden="1"/>
    </xf>
    <xf numFmtId="0" fontId="0" fillId="0" borderId="0" xfId="2" applyNumberFormat="1" applyFont="1" applyFill="1" applyAlignment="1" applyProtection="1">
      <alignment horizontal="center"/>
      <protection hidden="1"/>
    </xf>
    <xf numFmtId="167" fontId="0" fillId="0" borderId="0" xfId="2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right"/>
      <protection hidden="1"/>
    </xf>
    <xf numFmtId="165" fontId="5" fillId="0" borderId="0" xfId="0" applyNumberFormat="1" applyFont="1" applyFill="1" applyAlignment="1" applyProtection="1">
      <alignment horizontal="left"/>
      <protection hidden="1"/>
    </xf>
    <xf numFmtId="0" fontId="24" fillId="0" borderId="0" xfId="0" applyFont="1" applyFill="1" applyAlignment="1" applyProtection="1"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Fill="1" applyBorder="1" applyAlignment="1" applyProtection="1">
      <alignment horizontal="left" vertical="center"/>
      <protection hidden="1"/>
    </xf>
    <xf numFmtId="0" fontId="0" fillId="0" borderId="2" xfId="0" applyFill="1" applyBorder="1" applyAlignment="1" applyProtection="1">
      <alignment horizontal="left" vertical="center"/>
      <protection hidden="1"/>
    </xf>
    <xf numFmtId="0" fontId="101" fillId="0" borderId="2" xfId="0" applyFont="1" applyFill="1" applyBorder="1" applyAlignment="1" applyProtection="1">
      <alignment horizontal="center" vertical="center"/>
      <protection hidden="1"/>
    </xf>
    <xf numFmtId="0" fontId="38" fillId="0" borderId="2" xfId="0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left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left" vertical="center"/>
      <protection hidden="1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6" borderId="0" xfId="0" applyFill="1" applyAlignment="1" applyProtection="1">
      <alignment horizontal="left" vertical="center"/>
      <protection hidden="1"/>
    </xf>
    <xf numFmtId="0" fontId="2" fillId="6" borderId="0" xfId="0" applyFont="1" applyFill="1" applyBorder="1" applyAlignment="1" applyProtection="1">
      <alignment horizontal="right" vertical="center"/>
      <protection hidden="1"/>
    </xf>
    <xf numFmtId="2" fontId="8" fillId="6" borderId="0" xfId="0" applyNumberFormat="1" applyFont="1" applyFill="1" applyBorder="1" applyAlignment="1" applyProtection="1">
      <alignment horizontal="center" vertical="center"/>
      <protection hidden="1"/>
    </xf>
    <xf numFmtId="0" fontId="11" fillId="6" borderId="0" xfId="0" applyFont="1" applyFill="1" applyBorder="1" applyAlignment="1" applyProtection="1">
      <alignment horizontal="left" vertical="center"/>
      <protection hidden="1"/>
    </xf>
    <xf numFmtId="0" fontId="2" fillId="6" borderId="2" xfId="0" applyFont="1" applyFill="1" applyBorder="1" applyAlignment="1" applyProtection="1">
      <alignment horizontal="left" vertical="center"/>
      <protection hidden="1"/>
    </xf>
    <xf numFmtId="0" fontId="2" fillId="6" borderId="2" xfId="0" applyFont="1" applyFill="1" applyBorder="1" applyAlignment="1" applyProtection="1">
      <alignment horizontal="right" vertical="center"/>
      <protection hidden="1"/>
    </xf>
    <xf numFmtId="2" fontId="8" fillId="6" borderId="2" xfId="0" applyNumberFormat="1" applyFont="1" applyFill="1" applyBorder="1" applyAlignment="1" applyProtection="1">
      <alignment horizontal="center" vertical="center"/>
      <protection hidden="1"/>
    </xf>
    <xf numFmtId="0" fontId="11" fillId="6" borderId="2" xfId="0" applyFont="1" applyFill="1" applyBorder="1" applyAlignment="1" applyProtection="1">
      <alignment horizontal="left" vertical="center"/>
      <protection hidden="1"/>
    </xf>
    <xf numFmtId="0" fontId="0" fillId="0" borderId="4" xfId="0" applyFill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39" fillId="0" borderId="0" xfId="0" applyFont="1" applyFill="1" applyBorder="1" applyAlignment="1" applyProtection="1">
      <alignment horizontal="center"/>
      <protection hidden="1"/>
    </xf>
    <xf numFmtId="0" fontId="40" fillId="0" borderId="0" xfId="0" applyFont="1" applyFill="1" applyProtection="1">
      <protection hidden="1"/>
    </xf>
    <xf numFmtId="168" fontId="5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1" fontId="5" fillId="0" borderId="0" xfId="0" applyNumberFormat="1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1" fontId="5" fillId="0" borderId="0" xfId="0" applyNumberFormat="1" applyFont="1" applyFill="1" applyBorder="1" applyAlignment="1" applyProtection="1">
      <alignment horizontal="center" vertical="center"/>
      <protection hidden="1"/>
    </xf>
    <xf numFmtId="165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1" fontId="8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165" fontId="5" fillId="0" borderId="3" xfId="0" applyNumberFormat="1" applyFont="1" applyFill="1" applyBorder="1" applyAlignment="1" applyProtection="1">
      <alignment horizontal="center"/>
      <protection hidden="1"/>
    </xf>
    <xf numFmtId="0" fontId="57" fillId="0" borderId="0" xfId="0" applyFont="1" applyFill="1" applyAlignment="1" applyProtection="1">
      <alignment horizontal="right" vertical="center"/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44" fillId="0" borderId="0" xfId="0" applyFont="1" applyFill="1" applyAlignment="1" applyProtection="1">
      <alignment horizontal="right" vertical="center"/>
      <protection hidden="1"/>
    </xf>
    <xf numFmtId="1" fontId="8" fillId="0" borderId="0" xfId="0" applyNumberFormat="1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1" fontId="0" fillId="0" borderId="3" xfId="0" applyNumberFormat="1" applyFill="1" applyBorder="1" applyAlignment="1" applyProtection="1">
      <alignment horizontal="center"/>
      <protection hidden="1"/>
    </xf>
    <xf numFmtId="0" fontId="61" fillId="0" borderId="0" xfId="0" applyFont="1" applyFill="1" applyAlignment="1" applyProtection="1">
      <alignment horizontal="right" vertical="center"/>
      <protection hidden="1"/>
    </xf>
    <xf numFmtId="0" fontId="61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4" xfId="0" applyFill="1" applyBorder="1" applyAlignment="1" applyProtection="1">
      <alignment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165" fontId="8" fillId="0" borderId="4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1" fontId="0" fillId="0" borderId="0" xfId="2" applyNumberFormat="1" applyFont="1" applyFill="1" applyBorder="1" applyAlignment="1" applyProtection="1">
      <alignment horizontal="center" vertical="center"/>
      <protection hidden="1"/>
    </xf>
    <xf numFmtId="1" fontId="2" fillId="0" borderId="2" xfId="2" applyNumberFormat="1" applyFont="1" applyFill="1" applyBorder="1" applyAlignment="1" applyProtection="1">
      <alignment horizontal="center" vertical="center"/>
      <protection hidden="1"/>
    </xf>
    <xf numFmtId="1" fontId="2" fillId="0" borderId="2" xfId="0" applyNumberFormat="1" applyFont="1" applyFill="1" applyBorder="1" applyAlignment="1" applyProtection="1">
      <alignment horizontal="center" vertical="center"/>
      <protection hidden="1"/>
    </xf>
    <xf numFmtId="0" fontId="57" fillId="0" borderId="2" xfId="0" applyFont="1" applyFill="1" applyBorder="1" applyAlignment="1" applyProtection="1">
      <alignment horizontal="left" vertical="center"/>
      <protection hidden="1"/>
    </xf>
    <xf numFmtId="1" fontId="57" fillId="0" borderId="2" xfId="0" applyNumberFormat="1" applyFont="1" applyFill="1" applyBorder="1" applyAlignment="1" applyProtection="1">
      <alignment horizontal="center" vertical="center"/>
      <protection hidden="1"/>
    </xf>
    <xf numFmtId="0" fontId="57" fillId="0" borderId="2" xfId="0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left"/>
      <protection hidden="1"/>
    </xf>
    <xf numFmtId="1" fontId="5" fillId="0" borderId="0" xfId="2" applyNumberFormat="1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protection hidden="1"/>
    </xf>
    <xf numFmtId="0" fontId="37" fillId="0" borderId="0" xfId="0" applyFont="1" applyFill="1" applyBorder="1" applyAlignment="1" applyProtection="1">
      <alignment horizontal="center"/>
      <protection hidden="1"/>
    </xf>
    <xf numFmtId="0" fontId="61" fillId="0" borderId="0" xfId="0" applyFont="1" applyFill="1" applyAlignment="1" applyProtection="1">
      <alignment horizontal="right"/>
      <protection hidden="1"/>
    </xf>
    <xf numFmtId="0" fontId="61" fillId="0" borderId="0" xfId="0" applyFont="1" applyFill="1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left"/>
      <protection hidden="1"/>
    </xf>
    <xf numFmtId="0" fontId="2" fillId="0" borderId="4" xfId="0" applyFont="1" applyFill="1" applyBorder="1" applyAlignment="1" applyProtection="1">
      <alignment horizontal="right"/>
      <protection hidden="1"/>
    </xf>
    <xf numFmtId="165" fontId="8" fillId="0" borderId="4" xfId="0" applyNumberFormat="1" applyFont="1" applyFill="1" applyBorder="1" applyAlignment="1" applyProtection="1">
      <alignment horizontal="center"/>
      <protection hidden="1"/>
    </xf>
    <xf numFmtId="1" fontId="0" fillId="0" borderId="0" xfId="2" applyNumberFormat="1" applyFont="1" applyFill="1" applyBorder="1" applyAlignment="1" applyProtection="1">
      <alignment horizontal="center"/>
      <protection hidden="1"/>
    </xf>
    <xf numFmtId="1" fontId="2" fillId="0" borderId="2" xfId="2" applyNumberFormat="1" applyFont="1" applyFill="1" applyBorder="1" applyAlignment="1" applyProtection="1">
      <alignment horizontal="center"/>
      <protection hidden="1"/>
    </xf>
    <xf numFmtId="1" fontId="57" fillId="0" borderId="2" xfId="0" applyNumberFormat="1" applyFont="1" applyFill="1" applyBorder="1" applyAlignment="1" applyProtection="1">
      <alignment horizontal="center"/>
      <protection hidden="1"/>
    </xf>
    <xf numFmtId="0" fontId="57" fillId="0" borderId="2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right"/>
      <protection hidden="1"/>
    </xf>
    <xf numFmtId="0" fontId="8" fillId="0" borderId="0" xfId="0" applyFont="1" applyFill="1" applyAlignment="1" applyProtection="1">
      <alignment horizontal="right"/>
      <protection hidden="1"/>
    </xf>
    <xf numFmtId="165" fontId="0" fillId="0" borderId="0" xfId="2" applyNumberFormat="1" applyFont="1" applyFill="1" applyAlignment="1" applyProtection="1">
      <alignment horizontal="center"/>
      <protection hidden="1"/>
    </xf>
    <xf numFmtId="1" fontId="0" fillId="0" borderId="0" xfId="2" applyNumberFormat="1" applyFont="1" applyFill="1" applyAlignment="1" applyProtection="1">
      <alignment horizontal="center"/>
      <protection hidden="1"/>
    </xf>
    <xf numFmtId="14" fontId="0" fillId="0" borderId="0" xfId="0" applyNumberFormat="1" applyFill="1" applyProtection="1">
      <protection hidden="1"/>
    </xf>
    <xf numFmtId="3" fontId="0" fillId="0" borderId="0" xfId="2" applyNumberFormat="1" applyFont="1" applyFill="1" applyAlignment="1" applyProtection="1">
      <alignment horizontal="center"/>
      <protection hidden="1"/>
    </xf>
    <xf numFmtId="3" fontId="0" fillId="0" borderId="0" xfId="0" applyNumberFormat="1" applyFill="1" applyAlignment="1" applyProtection="1">
      <alignment horizontal="center"/>
      <protection hidden="1"/>
    </xf>
    <xf numFmtId="0" fontId="15" fillId="0" borderId="0" xfId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Alignment="1" applyProtection="1">
      <protection hidden="1"/>
    </xf>
    <xf numFmtId="165" fontId="0" fillId="0" borderId="0" xfId="0" applyNumberFormat="1" applyFill="1" applyBorder="1" applyAlignment="1" applyProtection="1">
      <alignment horizontal="left"/>
      <protection hidden="1"/>
    </xf>
    <xf numFmtId="0" fontId="36" fillId="0" borderId="0" xfId="0" applyFont="1" applyFill="1" applyProtection="1">
      <protection hidden="1"/>
    </xf>
    <xf numFmtId="1" fontId="0" fillId="0" borderId="0" xfId="0" applyNumberFormat="1" applyFill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center"/>
      <protection hidden="1"/>
    </xf>
    <xf numFmtId="37" fontId="8" fillId="0" borderId="0" xfId="2" applyNumberFormat="1" applyFont="1" applyFill="1" applyBorder="1" applyAlignment="1" applyProtection="1">
      <alignment horizontal="center"/>
      <protection hidden="1"/>
    </xf>
    <xf numFmtId="37" fontId="8" fillId="0" borderId="0" xfId="2" applyNumberFormat="1" applyFont="1" applyFill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right"/>
      <protection hidden="1"/>
    </xf>
    <xf numFmtId="0" fontId="10" fillId="0" borderId="0" xfId="0" applyFont="1" applyFill="1" applyAlignment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37" fontId="0" fillId="0" borderId="0" xfId="2" applyNumberFormat="1" applyFont="1" applyFill="1" applyAlignment="1" applyProtection="1">
      <alignment horizontal="center"/>
      <protection hidden="1"/>
    </xf>
    <xf numFmtId="165" fontId="5" fillId="0" borderId="0" xfId="0" applyNumberFormat="1" applyFont="1" applyFill="1" applyBorder="1" applyAlignment="1" applyProtection="1">
      <alignment horizontal="center"/>
      <protection hidden="1"/>
    </xf>
    <xf numFmtId="165" fontId="5" fillId="0" borderId="0" xfId="0" applyNumberFormat="1" applyFont="1" applyFill="1" applyBorder="1" applyAlignment="1" applyProtection="1">
      <alignment horizontal="left"/>
      <protection hidden="1"/>
    </xf>
    <xf numFmtId="1" fontId="2" fillId="0" borderId="0" xfId="0" applyNumberFormat="1" applyFont="1" applyFill="1" applyAlignment="1" applyProtection="1">
      <protection hidden="1"/>
    </xf>
    <xf numFmtId="0" fontId="61" fillId="0" borderId="0" xfId="0" applyFont="1" applyFill="1" applyAlignment="1" applyProtection="1">
      <protection hidden="1"/>
    </xf>
    <xf numFmtId="0" fontId="46" fillId="0" borderId="0" xfId="0" applyFont="1" applyFill="1" applyAlignment="1" applyProtection="1">
      <alignment horizontal="right"/>
      <protection hidden="1"/>
    </xf>
    <xf numFmtId="0" fontId="61" fillId="0" borderId="0" xfId="0" applyFont="1" applyFill="1" applyProtection="1">
      <protection hidden="1"/>
    </xf>
    <xf numFmtId="1" fontId="60" fillId="0" borderId="0" xfId="0" applyNumberFormat="1" applyFont="1" applyFill="1" applyBorder="1" applyAlignment="1" applyProtection="1">
      <alignment horizontal="center"/>
      <protection hidden="1"/>
    </xf>
    <xf numFmtId="0" fontId="61" fillId="0" borderId="0" xfId="0" applyFont="1" applyFill="1" applyBorder="1" applyAlignment="1" applyProtection="1">
      <alignment horizontal="left"/>
      <protection hidden="1"/>
    </xf>
    <xf numFmtId="0" fontId="60" fillId="0" borderId="0" xfId="0" applyFont="1" applyFill="1" applyProtection="1">
      <protection hidden="1"/>
    </xf>
    <xf numFmtId="0" fontId="8" fillId="0" borderId="2" xfId="0" applyFont="1" applyFill="1" applyBorder="1" applyAlignment="1" applyProtection="1">
      <alignment horizontal="left"/>
      <protection hidden="1"/>
    </xf>
    <xf numFmtId="0" fontId="0" fillId="0" borderId="2" xfId="0" applyFill="1" applyBorder="1" applyAlignment="1" applyProtection="1">
      <alignment horizontal="left"/>
      <protection hidden="1"/>
    </xf>
    <xf numFmtId="165" fontId="8" fillId="0" borderId="2" xfId="0" applyNumberFormat="1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left"/>
      <protection hidden="1"/>
    </xf>
    <xf numFmtId="0" fontId="44" fillId="0" borderId="0" xfId="0" applyFont="1" applyFill="1" applyBorder="1" applyAlignment="1" applyProtection="1">
      <alignment horizontal="left"/>
      <protection hidden="1"/>
    </xf>
    <xf numFmtId="165" fontId="46" fillId="0" borderId="0" xfId="0" applyNumberFormat="1" applyFont="1" applyFill="1" applyBorder="1" applyAlignment="1" applyProtection="1">
      <alignment horizontal="center"/>
      <protection hidden="1"/>
    </xf>
    <xf numFmtId="0" fontId="44" fillId="0" borderId="0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alignment horizontal="right"/>
      <protection hidden="1"/>
    </xf>
    <xf numFmtId="0" fontId="5" fillId="0" borderId="4" xfId="0" applyFont="1" applyFill="1" applyBorder="1" applyAlignment="1" applyProtection="1">
      <alignment horizontal="center"/>
      <protection hidden="1"/>
    </xf>
    <xf numFmtId="0" fontId="5" fillId="0" borderId="2" xfId="0" applyFont="1" applyFill="1" applyBorder="1" applyAlignment="1" applyProtection="1">
      <alignment horizontal="left"/>
      <protection hidden="1"/>
    </xf>
    <xf numFmtId="1" fontId="5" fillId="0" borderId="2" xfId="0" applyNumberFormat="1" applyFont="1" applyFill="1" applyBorder="1" applyAlignment="1" applyProtection="1">
      <alignment horizontal="center"/>
      <protection hidden="1"/>
    </xf>
    <xf numFmtId="0" fontId="2" fillId="0" borderId="0" xfId="0" quotePrefix="1" applyNumberFormat="1" applyFont="1" applyFill="1" applyAlignment="1" applyProtection="1">
      <alignment horizontal="left"/>
      <protection hidden="1"/>
    </xf>
    <xf numFmtId="0" fontId="5" fillId="0" borderId="4" xfId="0" applyFont="1" applyFill="1" applyBorder="1" applyAlignment="1" applyProtection="1">
      <protection hidden="1"/>
    </xf>
    <xf numFmtId="0" fontId="73" fillId="0" borderId="0" xfId="0" applyFont="1" applyFill="1" applyProtection="1">
      <protection hidden="1"/>
    </xf>
    <xf numFmtId="0" fontId="75" fillId="0" borderId="0" xfId="0" applyFont="1" applyFill="1" applyProtection="1">
      <protection hidden="1"/>
    </xf>
    <xf numFmtId="0" fontId="13" fillId="0" borderId="0" xfId="0" applyFont="1" applyFill="1" applyAlignment="1" applyProtection="1">
      <alignment horizontal="left"/>
      <protection hidden="1"/>
    </xf>
    <xf numFmtId="0" fontId="74" fillId="0" borderId="0" xfId="0" applyFont="1" applyFill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left" indent="1"/>
      <protection hidden="1"/>
    </xf>
    <xf numFmtId="0" fontId="39" fillId="0" borderId="0" xfId="0" applyFont="1" applyFill="1" applyBorder="1" applyAlignment="1" applyProtection="1">
      <protection hidden="1"/>
    </xf>
    <xf numFmtId="0" fontId="40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168" fontId="2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8" fillId="0" borderId="0" xfId="0" applyFont="1" applyFill="1" applyBorder="1" applyAlignment="1" applyProtection="1">
      <alignment vertical="top"/>
      <protection hidden="1"/>
    </xf>
    <xf numFmtId="0" fontId="0" fillId="0" borderId="0" xfId="0" applyFill="1" applyAlignment="1" applyProtection="1">
      <alignment vertical="top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11" fillId="0" borderId="0" xfId="0" applyFont="1" applyFill="1" applyBorder="1" applyAlignment="1" applyProtection="1">
      <alignment horizontal="left" vertical="top"/>
      <protection hidden="1"/>
    </xf>
    <xf numFmtId="168" fontId="2" fillId="0" borderId="0" xfId="0" applyNumberFormat="1" applyFont="1" applyFill="1" applyBorder="1" applyAlignment="1" applyProtection="1">
      <alignment horizontal="center" vertical="top"/>
      <protection hidden="1"/>
    </xf>
    <xf numFmtId="168" fontId="8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Fill="1" applyBorder="1" applyAlignment="1" applyProtection="1">
      <alignment vertical="top"/>
      <protection hidden="1"/>
    </xf>
    <xf numFmtId="0" fontId="2" fillId="0" borderId="0" xfId="0" applyFont="1" applyFill="1" applyBorder="1" applyAlignment="1" applyProtection="1">
      <alignment horizontal="left" vertical="top"/>
      <protection hidden="1"/>
    </xf>
    <xf numFmtId="3" fontId="8" fillId="0" borderId="0" xfId="2" applyNumberFormat="1" applyFont="1" applyFill="1" applyAlignment="1" applyProtection="1">
      <alignment horizontal="center"/>
      <protection hidden="1"/>
    </xf>
    <xf numFmtId="0" fontId="8" fillId="0" borderId="3" xfId="0" applyFont="1" applyFill="1" applyBorder="1" applyProtection="1"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167" fontId="8" fillId="0" borderId="0" xfId="2" applyNumberFormat="1" applyFont="1" applyFill="1" applyBorder="1" applyAlignment="1" applyProtection="1">
      <alignment horizontal="center" vertical="center"/>
      <protection hidden="1"/>
    </xf>
    <xf numFmtId="1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1" fontId="2" fillId="0" borderId="3" xfId="0" applyNumberFormat="1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1" fontId="8" fillId="0" borderId="3" xfId="0" applyNumberFormat="1" applyFont="1" applyFill="1" applyBorder="1" applyAlignment="1" applyProtection="1">
      <alignment horizontal="center"/>
      <protection hidden="1"/>
    </xf>
    <xf numFmtId="1" fontId="8" fillId="0" borderId="0" xfId="0" applyNumberFormat="1" applyFont="1" applyFill="1" applyBorder="1" applyAlignment="1" applyProtection="1">
      <alignment horizontal="left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77" fillId="0" borderId="0" xfId="0" applyFont="1" applyFill="1" applyAlignment="1" applyProtection="1">
      <alignment horizontal="left"/>
      <protection hidden="1"/>
    </xf>
    <xf numFmtId="0" fontId="35" fillId="0" borderId="0" xfId="0" applyFont="1" applyFill="1" applyBorder="1" applyAlignment="1" applyProtection="1">
      <alignment vertical="center"/>
      <protection hidden="1"/>
    </xf>
    <xf numFmtId="0" fontId="35" fillId="0" borderId="0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center" wrapText="1"/>
      <protection hidden="1"/>
    </xf>
    <xf numFmtId="3" fontId="8" fillId="0" borderId="4" xfId="0" applyNumberFormat="1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left"/>
      <protection hidden="1"/>
    </xf>
    <xf numFmtId="2" fontId="0" fillId="0" borderId="0" xfId="0" applyNumberFormat="1" applyFill="1" applyBorder="1" applyAlignment="1" applyProtection="1">
      <alignment horizontal="center"/>
      <protection hidden="1"/>
    </xf>
    <xf numFmtId="2" fontId="0" fillId="0" borderId="3" xfId="0" applyNumberFormat="1" applyFill="1" applyBorder="1" applyAlignment="1" applyProtection="1">
      <alignment horizontal="center"/>
      <protection hidden="1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Fill="1" applyBorder="1" applyAlignment="1" applyProtection="1">
      <alignment horizontal="center"/>
      <protection hidden="1"/>
    </xf>
    <xf numFmtId="2" fontId="8" fillId="0" borderId="0" xfId="0" applyNumberFormat="1" applyFont="1" applyFill="1" applyBorder="1" applyAlignment="1" applyProtection="1">
      <alignment horizontal="center"/>
      <protection hidden="1"/>
    </xf>
    <xf numFmtId="1" fontId="8" fillId="0" borderId="3" xfId="0" applyNumberFormat="1" applyFont="1" applyFill="1" applyBorder="1" applyAlignment="1" applyProtection="1">
      <alignment horizontal="center" vertical="center"/>
      <protection hidden="1"/>
    </xf>
    <xf numFmtId="1" fontId="81" fillId="0" borderId="0" xfId="0" applyNumberFormat="1" applyFont="1" applyFill="1" applyAlignment="1" applyProtection="1">
      <alignment horizontal="center"/>
      <protection hidden="1"/>
    </xf>
    <xf numFmtId="0" fontId="82" fillId="0" borderId="0" xfId="0" applyFont="1" applyFill="1" applyAlignment="1" applyProtection="1">
      <protection hidden="1"/>
    </xf>
    <xf numFmtId="49" fontId="2" fillId="0" borderId="0" xfId="0" applyNumberFormat="1" applyFont="1" applyFill="1" applyAlignment="1" applyProtection="1">
      <alignment horizontal="center"/>
      <protection hidden="1"/>
    </xf>
    <xf numFmtId="49" fontId="2" fillId="0" borderId="0" xfId="0" applyNumberFormat="1" applyFont="1" applyFill="1" applyBorder="1" applyAlignment="1" applyProtection="1">
      <alignment horizontal="center"/>
      <protection hidden="1"/>
    </xf>
    <xf numFmtId="0" fontId="45" fillId="0" borderId="0" xfId="0" applyFont="1" applyFill="1" applyProtection="1">
      <protection hidden="1"/>
    </xf>
    <xf numFmtId="168" fontId="5" fillId="0" borderId="0" xfId="0" applyNumberFormat="1" applyFont="1" applyFill="1" applyBorder="1" applyAlignment="1" applyProtection="1">
      <protection hidden="1"/>
    </xf>
    <xf numFmtId="0" fontId="2" fillId="0" borderId="0" xfId="0" quotePrefix="1" applyFont="1" applyFill="1" applyBorder="1" applyProtection="1">
      <protection hidden="1"/>
    </xf>
    <xf numFmtId="0" fontId="0" fillId="0" borderId="0" xfId="2" applyNumberFormat="1" applyFont="1" applyFill="1" applyBorder="1" applyAlignment="1" applyProtection="1">
      <alignment horizontal="center"/>
      <protection hidden="1"/>
    </xf>
    <xf numFmtId="39" fontId="0" fillId="0" borderId="0" xfId="0" applyNumberFormat="1" applyFill="1" applyProtection="1">
      <protection hidden="1"/>
    </xf>
    <xf numFmtId="0" fontId="111" fillId="0" borderId="0" xfId="0" applyFont="1" applyFill="1" applyAlignment="1" applyProtection="1">
      <protection hidden="1"/>
    </xf>
    <xf numFmtId="0" fontId="8" fillId="0" borderId="4" xfId="0" applyFont="1" applyFill="1" applyBorder="1" applyAlignment="1" applyProtection="1">
      <alignment horizontal="left"/>
      <protection hidden="1"/>
    </xf>
    <xf numFmtId="1" fontId="0" fillId="0" borderId="0" xfId="0" applyNumberFormat="1" applyFill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0" fontId="0" fillId="0" borderId="2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left"/>
      <protection hidden="1"/>
    </xf>
    <xf numFmtId="0" fontId="73" fillId="0" borderId="0" xfId="0" applyFont="1" applyProtection="1">
      <protection hidden="1"/>
    </xf>
    <xf numFmtId="0" fontId="13" fillId="0" borderId="0" xfId="0" applyFont="1" applyBorder="1" applyProtection="1">
      <protection hidden="1"/>
    </xf>
    <xf numFmtId="0" fontId="17" fillId="0" borderId="4" xfId="0" applyFont="1" applyBorder="1" applyProtection="1">
      <protection hidden="1"/>
    </xf>
    <xf numFmtId="0" fontId="17" fillId="0" borderId="1" xfId="0" applyFont="1" applyBorder="1" applyProtection="1">
      <protection hidden="1"/>
    </xf>
    <xf numFmtId="0" fontId="17" fillId="0" borderId="4" xfId="0" applyFont="1" applyBorder="1" applyAlignment="1" applyProtection="1">
      <alignment horizontal="left"/>
      <protection hidden="1"/>
    </xf>
    <xf numFmtId="0" fontId="76" fillId="0" borderId="0" xfId="0" applyFont="1" applyProtection="1">
      <protection hidden="1"/>
    </xf>
    <xf numFmtId="0" fontId="13" fillId="0" borderId="2" xfId="0" applyFont="1" applyBorder="1" applyProtection="1">
      <protection hidden="1"/>
    </xf>
    <xf numFmtId="0" fontId="13" fillId="0" borderId="2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5" fillId="0" borderId="0" xfId="0" applyFont="1" applyProtection="1">
      <protection hidden="1"/>
    </xf>
    <xf numFmtId="0" fontId="13" fillId="0" borderId="0" xfId="0" applyFont="1" applyAlignment="1" applyProtection="1">
      <alignment horizontal="left" indent="1"/>
      <protection hidden="1"/>
    </xf>
    <xf numFmtId="0" fontId="74" fillId="0" borderId="0" xfId="0" applyFont="1" applyAlignment="1" applyProtection="1">
      <alignment horizontal="left" indent="1"/>
      <protection hidden="1"/>
    </xf>
    <xf numFmtId="2" fontId="0" fillId="0" borderId="0" xfId="0" applyNumberFormat="1" applyFill="1" applyAlignment="1" applyProtection="1">
      <alignment horizontal="center" vertical="center"/>
      <protection hidden="1"/>
    </xf>
    <xf numFmtId="0" fontId="106" fillId="0" borderId="2" xfId="0" applyFont="1" applyFill="1" applyBorder="1" applyAlignment="1" applyProtection="1">
      <alignment vertical="center"/>
      <protection hidden="1"/>
    </xf>
    <xf numFmtId="1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vertical="center"/>
      <protection hidden="1"/>
    </xf>
    <xf numFmtId="39" fontId="5" fillId="0" borderId="0" xfId="0" applyNumberFormat="1" applyFont="1" applyFill="1" applyBorder="1" applyAlignment="1" applyProtection="1">
      <alignment horizontal="center"/>
      <protection hidden="1"/>
    </xf>
    <xf numFmtId="0" fontId="2" fillId="0" borderId="1" xfId="0" applyFont="1" applyFill="1" applyBorder="1" applyAlignment="1" applyProtection="1">
      <protection hidden="1"/>
    </xf>
    <xf numFmtId="1" fontId="8" fillId="0" borderId="0" xfId="0" applyNumberFormat="1" applyFont="1" applyFill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5" fillId="0" borderId="0" xfId="1" applyFont="1" applyFill="1" applyAlignment="1" applyProtection="1">
      <protection hidden="1"/>
    </xf>
    <xf numFmtId="0" fontId="0" fillId="0" borderId="7" xfId="0" applyFill="1" applyBorder="1" applyAlignment="1" applyProtection="1">
      <alignment horizontal="center"/>
      <protection hidden="1"/>
    </xf>
    <xf numFmtId="0" fontId="5" fillId="0" borderId="7" xfId="0" applyFont="1" applyFill="1" applyBorder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0" fillId="0" borderId="8" xfId="0" applyFill="1" applyBorder="1" applyAlignment="1" applyProtection="1">
      <alignment horizontal="center"/>
      <protection hidden="1"/>
    </xf>
    <xf numFmtId="0" fontId="6" fillId="0" borderId="3" xfId="0" applyFont="1" applyFill="1" applyBorder="1" applyAlignment="1" applyProtection="1">
      <alignment horizontal="left"/>
      <protection hidden="1"/>
    </xf>
    <xf numFmtId="0" fontId="0" fillId="0" borderId="3" xfId="0" applyFill="1" applyBorder="1" applyAlignment="1" applyProtection="1">
      <alignment horizontal="left"/>
      <protection hidden="1"/>
    </xf>
    <xf numFmtId="2" fontId="5" fillId="0" borderId="3" xfId="0" applyNumberFormat="1" applyFont="1" applyFill="1" applyBorder="1" applyAlignment="1" applyProtection="1">
      <alignment horizont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0" fontId="4" fillId="0" borderId="3" xfId="0" applyFont="1" applyFill="1" applyBorder="1" applyAlignment="1" applyProtection="1">
      <alignment horizontal="center"/>
      <protection hidden="1"/>
    </xf>
    <xf numFmtId="166" fontId="0" fillId="0" borderId="3" xfId="0" applyNumberFormat="1" applyFill="1" applyBorder="1" applyAlignment="1" applyProtection="1">
      <alignment horizontal="center"/>
      <protection hidden="1"/>
    </xf>
    <xf numFmtId="2" fontId="9" fillId="0" borderId="3" xfId="0" applyNumberFormat="1" applyFont="1" applyFill="1" applyBorder="1" applyAlignment="1" applyProtection="1">
      <alignment horizontal="center"/>
      <protection hidden="1"/>
    </xf>
    <xf numFmtId="2" fontId="9" fillId="0" borderId="0" xfId="0" applyNumberFormat="1" applyFont="1" applyFill="1" applyAlignment="1" applyProtection="1">
      <alignment horizontal="center"/>
      <protection hidden="1"/>
    </xf>
    <xf numFmtId="166" fontId="9" fillId="0" borderId="3" xfId="0" applyNumberFormat="1" applyFont="1" applyFill="1" applyBorder="1" applyAlignment="1" applyProtection="1">
      <alignment horizontal="center"/>
      <protection hidden="1"/>
    </xf>
    <xf numFmtId="166" fontId="9" fillId="0" borderId="0" xfId="0" applyNumberFormat="1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/>
      <protection hidden="1"/>
    </xf>
    <xf numFmtId="166" fontId="9" fillId="0" borderId="6" xfId="0" applyNumberFormat="1" applyFont="1" applyFill="1" applyBorder="1" applyAlignment="1" applyProtection="1">
      <alignment horizontal="center"/>
      <protection hidden="1"/>
    </xf>
    <xf numFmtId="0" fontId="6" fillId="0" borderId="3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165" fontId="0" fillId="0" borderId="3" xfId="0" applyNumberFormat="1" applyFill="1" applyBorder="1" applyAlignment="1" applyProtection="1">
      <alignment horizontal="center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4" fillId="0" borderId="3" xfId="0" applyFont="1" applyFill="1" applyBorder="1" applyAlignment="1" applyProtection="1">
      <alignment horizontal="left"/>
      <protection hidden="1"/>
    </xf>
    <xf numFmtId="0" fontId="0" fillId="0" borderId="9" xfId="0" applyFill="1" applyBorder="1" applyProtection="1"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6" fillId="0" borderId="7" xfId="0" applyFont="1" applyFill="1" applyBorder="1" applyAlignment="1" applyProtection="1">
      <alignment horizontal="left"/>
      <protection hidden="1"/>
    </xf>
    <xf numFmtId="2" fontId="0" fillId="0" borderId="3" xfId="0" applyNumberFormat="1" applyFill="1" applyBorder="1" applyProtection="1">
      <protection hidden="1"/>
    </xf>
    <xf numFmtId="2" fontId="0" fillId="0" borderId="9" xfId="0" applyNumberFormat="1" applyFill="1" applyBorder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9" fillId="0" borderId="3" xfId="0" applyFont="1" applyFill="1" applyBorder="1" applyAlignment="1" applyProtection="1">
      <alignment horizontal="center"/>
      <protection hidden="1"/>
    </xf>
    <xf numFmtId="166" fontId="5" fillId="0" borderId="3" xfId="0" applyNumberFormat="1" applyFont="1" applyFill="1" applyBorder="1" applyAlignment="1" applyProtection="1">
      <alignment horizontal="center"/>
      <protection hidden="1"/>
    </xf>
    <xf numFmtId="1" fontId="7" fillId="0" borderId="3" xfId="0" applyNumberFormat="1" applyFont="1" applyFill="1" applyBorder="1" applyAlignment="1" applyProtection="1">
      <alignment horizontal="center"/>
      <protection hidden="1"/>
    </xf>
    <xf numFmtId="2" fontId="5" fillId="0" borderId="9" xfId="0" applyNumberFormat="1" applyFont="1" applyFill="1" applyBorder="1" applyAlignment="1" applyProtection="1">
      <alignment horizontal="center"/>
      <protection hidden="1"/>
    </xf>
    <xf numFmtId="0" fontId="0" fillId="0" borderId="3" xfId="0" applyFill="1" applyBorder="1" applyAlignment="1" applyProtection="1">
      <alignment horizontal="center"/>
      <protection hidden="1"/>
    </xf>
    <xf numFmtId="166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5" fillId="0" borderId="0" xfId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0" fontId="111" fillId="0" borderId="0" xfId="0" applyFont="1" applyFill="1" applyAlignment="1" applyProtection="1">
      <alignment horizontal="right"/>
      <protection hidden="1"/>
    </xf>
    <xf numFmtId="0" fontId="71" fillId="0" borderId="0" xfId="0" applyFont="1" applyFill="1" applyAlignment="1" applyProtection="1">
      <alignment horizontal="right"/>
      <protection hidden="1"/>
    </xf>
    <xf numFmtId="1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right"/>
      <protection hidden="1"/>
    </xf>
    <xf numFmtId="1" fontId="2" fillId="0" borderId="2" xfId="0" applyNumberFormat="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77" fillId="0" borderId="0" xfId="0" applyFont="1" applyFill="1" applyProtection="1">
      <protection hidden="1"/>
    </xf>
    <xf numFmtId="0" fontId="103" fillId="0" borderId="0" xfId="0" applyFont="1" applyFill="1" applyProtection="1">
      <protection hidden="1"/>
    </xf>
    <xf numFmtId="3" fontId="103" fillId="0" borderId="0" xfId="0" applyNumberFormat="1" applyFont="1" applyFill="1" applyBorder="1" applyAlignment="1" applyProtection="1">
      <alignment horizontal="center"/>
      <protection hidden="1"/>
    </xf>
    <xf numFmtId="0" fontId="78" fillId="0" borderId="0" xfId="0" applyFont="1" applyFill="1" applyProtection="1">
      <protection hidden="1"/>
    </xf>
    <xf numFmtId="0" fontId="96" fillId="0" borderId="0" xfId="0" applyFont="1" applyFill="1" applyAlignment="1" applyProtection="1">
      <alignment horizontal="left"/>
      <protection hidden="1"/>
    </xf>
    <xf numFmtId="0" fontId="13" fillId="0" borderId="0" xfId="0" applyFont="1" applyFill="1" applyAlignment="1" applyProtection="1">
      <alignment horizontal="left" indent="1"/>
      <protection hidden="1"/>
    </xf>
    <xf numFmtId="0" fontId="110" fillId="0" borderId="0" xfId="0" applyFont="1" applyFill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justify"/>
      <protection hidden="1"/>
    </xf>
    <xf numFmtId="168" fontId="2" fillId="0" borderId="0" xfId="0" applyNumberFormat="1" applyFont="1" applyFill="1" applyAlignment="1" applyProtection="1">
      <alignment horizontal="center"/>
      <protection hidden="1"/>
    </xf>
    <xf numFmtId="3" fontId="0" fillId="0" borderId="0" xfId="0" applyNumberFormat="1" applyFill="1" applyBorder="1" applyProtection="1">
      <protection hidden="1"/>
    </xf>
    <xf numFmtId="0" fontId="10" fillId="0" borderId="0" xfId="0" applyFont="1" applyFill="1" applyAlignment="1" applyProtection="1">
      <alignment horizontal="center"/>
      <protection hidden="1"/>
    </xf>
    <xf numFmtId="165" fontId="5" fillId="0" borderId="0" xfId="0" applyNumberFormat="1" applyFont="1" applyFill="1" applyAlignment="1" applyProtection="1">
      <alignment horizontal="center"/>
      <protection hidden="1"/>
    </xf>
    <xf numFmtId="0" fontId="5" fillId="0" borderId="2" xfId="0" applyFont="1" applyFill="1" applyBorder="1" applyAlignment="1" applyProtection="1">
      <alignment horizontal="center"/>
      <protection hidden="1"/>
    </xf>
    <xf numFmtId="1" fontId="8" fillId="0" borderId="0" xfId="0" applyNumberFormat="1" applyFont="1" applyFill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Alignment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0" fillId="0" borderId="0" xfId="0" applyNumberForma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left"/>
      <protection hidden="1"/>
    </xf>
    <xf numFmtId="166" fontId="8" fillId="0" borderId="1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Protection="1">
      <protection hidden="1"/>
    </xf>
    <xf numFmtId="166" fontId="8" fillId="0" borderId="2" xfId="0" applyNumberFormat="1" applyFont="1" applyFill="1" applyBorder="1" applyAlignment="1" applyProtection="1">
      <alignment horizontal="center"/>
      <protection hidden="1"/>
    </xf>
    <xf numFmtId="0" fontId="8" fillId="0" borderId="2" xfId="0" applyFont="1" applyFill="1" applyBorder="1" applyProtection="1">
      <protection hidden="1"/>
    </xf>
    <xf numFmtId="3" fontId="8" fillId="0" borderId="0" xfId="0" applyNumberFormat="1" applyFont="1" applyFill="1" applyBorder="1" applyAlignment="1" applyProtection="1">
      <alignment horizontal="center"/>
      <protection hidden="1"/>
    </xf>
    <xf numFmtId="0" fontId="35" fillId="0" borderId="0" xfId="0" applyFont="1" applyFill="1" applyAlignment="1" applyProtection="1">
      <protection hidden="1"/>
    </xf>
    <xf numFmtId="0" fontId="35" fillId="0" borderId="0" xfId="0" applyFont="1" applyFill="1" applyAlignment="1" applyProtection="1">
      <alignment horizontal="center"/>
      <protection hidden="1"/>
    </xf>
    <xf numFmtId="0" fontId="20" fillId="0" borderId="0" xfId="0" applyFont="1" applyFill="1" applyAlignment="1" applyProtection="1">
      <alignment horizontal="center"/>
      <protection hidden="1"/>
    </xf>
    <xf numFmtId="0" fontId="25" fillId="0" borderId="0" xfId="0" applyFont="1" applyFill="1" applyBorder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protection hidden="1"/>
    </xf>
    <xf numFmtId="3" fontId="0" fillId="0" borderId="0" xfId="0" applyNumberFormat="1" applyFill="1" applyBorder="1" applyAlignment="1" applyProtection="1">
      <alignment horizontal="right"/>
      <protection hidden="1"/>
    </xf>
    <xf numFmtId="0" fontId="61" fillId="0" borderId="0" xfId="0" applyFont="1" applyFill="1" applyBorder="1" applyProtection="1">
      <protection hidden="1"/>
    </xf>
    <xf numFmtId="169" fontId="60" fillId="0" borderId="0" xfId="2" applyNumberFormat="1" applyFont="1" applyFill="1" applyAlignment="1" applyProtection="1">
      <alignment horizontal="center"/>
      <protection hidden="1"/>
    </xf>
    <xf numFmtId="0" fontId="46" fillId="0" borderId="0" xfId="0" applyFont="1" applyFill="1" applyProtection="1">
      <protection hidden="1"/>
    </xf>
    <xf numFmtId="165" fontId="5" fillId="0" borderId="0" xfId="0" applyNumberFormat="1" applyFont="1" applyFill="1" applyBorder="1" applyAlignment="1" applyProtection="1">
      <protection hidden="1"/>
    </xf>
    <xf numFmtId="0" fontId="8" fillId="0" borderId="0" xfId="2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Fill="1" applyAlignment="1" applyProtection="1">
      <alignment horizontal="left"/>
      <protection hidden="1"/>
    </xf>
    <xf numFmtId="0" fontId="2" fillId="0" borderId="0" xfId="0" applyFont="1"/>
    <xf numFmtId="0" fontId="87" fillId="0" borderId="0" xfId="0" applyFont="1" applyFill="1" applyBorder="1" applyAlignment="1" applyProtection="1">
      <alignment horizontal="center" vertical="center"/>
      <protection hidden="1"/>
    </xf>
    <xf numFmtId="0" fontId="89" fillId="2" borderId="15" xfId="1" applyFont="1" applyFill="1" applyBorder="1" applyAlignment="1" applyProtection="1">
      <alignment horizontal="center" vertical="center"/>
      <protection hidden="1"/>
    </xf>
    <xf numFmtId="0" fontId="89" fillId="2" borderId="16" xfId="1" applyFont="1" applyFill="1" applyBorder="1" applyAlignment="1" applyProtection="1">
      <alignment horizontal="center" vertical="center"/>
      <protection hidden="1"/>
    </xf>
    <xf numFmtId="0" fontId="89" fillId="2" borderId="17" xfId="1" applyFont="1" applyFill="1" applyBorder="1" applyAlignment="1" applyProtection="1">
      <alignment horizontal="center" vertical="center"/>
      <protection hidden="1"/>
    </xf>
    <xf numFmtId="0" fontId="87" fillId="0" borderId="18" xfId="0" applyFont="1" applyFill="1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vertical="center"/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25" fillId="4" borderId="3" xfId="0" applyFont="1" applyFill="1" applyBorder="1" applyAlignment="1" applyProtection="1">
      <alignment vertical="center"/>
      <protection locked="0"/>
    </xf>
    <xf numFmtId="0" fontId="87" fillId="0" borderId="0" xfId="1" applyFont="1" applyFill="1" applyBorder="1" applyAlignment="1" applyProtection="1">
      <alignment horizontal="center" vertical="center"/>
      <protection hidden="1"/>
    </xf>
    <xf numFmtId="0" fontId="87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14" fontId="0" fillId="0" borderId="0" xfId="0" applyNumberForma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9" xfId="0" applyFill="1" applyBorder="1" applyAlignment="1" applyProtection="1">
      <alignment horizontal="left"/>
      <protection hidden="1"/>
    </xf>
    <xf numFmtId="0" fontId="0" fillId="0" borderId="7" xfId="0" applyFill="1" applyBorder="1" applyAlignment="1" applyProtection="1">
      <alignment horizontal="left"/>
      <protection hidden="1"/>
    </xf>
    <xf numFmtId="0" fontId="2" fillId="0" borderId="9" xfId="0" applyFont="1" applyFill="1" applyBorder="1" applyAlignment="1" applyProtection="1">
      <alignment horizontal="left"/>
      <protection hidden="1"/>
    </xf>
    <xf numFmtId="0" fontId="102" fillId="2" borderId="0" xfId="1" applyFont="1" applyFill="1" applyAlignment="1" applyProtection="1">
      <alignment horizontal="center" vertical="center"/>
      <protection hidden="1"/>
    </xf>
    <xf numFmtId="0" fontId="59" fillId="0" borderId="1" xfId="0" applyFont="1" applyFill="1" applyBorder="1" applyAlignment="1" applyProtection="1">
      <alignment horizontal="center" vertical="center"/>
      <protection hidden="1"/>
    </xf>
    <xf numFmtId="0" fontId="70" fillId="0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96" fillId="0" borderId="1" xfId="0" applyFont="1" applyFill="1" applyBorder="1" applyAlignment="1" applyProtection="1">
      <alignment horizontal="center" vertical="center"/>
      <protection hidden="1"/>
    </xf>
    <xf numFmtId="0" fontId="89" fillId="2" borderId="19" xfId="1" applyFont="1" applyFill="1" applyBorder="1" applyAlignment="1" applyProtection="1">
      <alignment horizontal="center" vertical="center"/>
      <protection hidden="1"/>
    </xf>
    <xf numFmtId="0" fontId="17" fillId="0" borderId="4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14" fontId="0" fillId="0" borderId="0" xfId="0" applyNumberFormat="1" applyFill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0" fontId="0" fillId="4" borderId="3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right" vertical="center"/>
      <protection hidden="1"/>
    </xf>
    <xf numFmtId="0" fontId="17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Border="1" applyAlignment="1" applyProtection="1">
      <alignment vertical="center" wrapText="1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2" fillId="0" borderId="2" xfId="0" applyFont="1" applyFill="1" applyBorder="1" applyAlignment="1" applyProtection="1">
      <alignment vertical="center" wrapText="1"/>
      <protection hidden="1"/>
    </xf>
    <xf numFmtId="0" fontId="2" fillId="5" borderId="0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Fill="1" applyBorder="1" applyAlignment="1" applyProtection="1">
      <alignment horizontal="center" vertical="center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13" fillId="5" borderId="0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Fill="1" applyBorder="1" applyAlignment="1" applyProtection="1">
      <alignment horizontal="center" vertical="center" wrapText="1"/>
      <protection hidden="1"/>
    </xf>
    <xf numFmtId="17" fontId="13" fillId="5" borderId="0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13" fillId="0" borderId="1" xfId="0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87" fillId="0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top" wrapText="1"/>
      <protection hidden="1"/>
    </xf>
    <xf numFmtId="0" fontId="13" fillId="0" borderId="2" xfId="0" applyFont="1" applyFill="1" applyBorder="1" applyAlignment="1" applyProtection="1">
      <alignment horizontal="center" vertical="top" wrapText="1"/>
      <protection hidden="1"/>
    </xf>
    <xf numFmtId="0" fontId="17" fillId="0" borderId="4" xfId="0" applyFont="1" applyFill="1" applyBorder="1" applyAlignment="1" applyProtection="1">
      <alignment horizontal="center" vertical="top" wrapText="1"/>
      <protection hidden="1"/>
    </xf>
    <xf numFmtId="0" fontId="8" fillId="0" borderId="9" xfId="0" applyFont="1" applyFill="1" applyBorder="1" applyAlignment="1" applyProtection="1">
      <alignment horizontal="center"/>
      <protection hidden="1"/>
    </xf>
    <xf numFmtId="0" fontId="8" fillId="0" borderId="4" xfId="0" applyFont="1" applyFill="1" applyBorder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2" fontId="0" fillId="0" borderId="8" xfId="0" applyNumberForma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hidden="1"/>
    </xf>
    <xf numFmtId="2" fontId="0" fillId="0" borderId="13" xfId="0" applyNumberFormat="1" applyFill="1" applyBorder="1" applyAlignment="1" applyProtection="1">
      <alignment horizontal="center" vertical="center"/>
      <protection hidden="1"/>
    </xf>
    <xf numFmtId="2" fontId="0" fillId="0" borderId="2" xfId="0" applyNumberFormat="1" applyFill="1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101" fillId="0" borderId="2" xfId="0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Border="1" applyAlignment="1" applyProtection="1">
      <alignment horizontal="center" vertical="center"/>
      <protection hidden="1"/>
    </xf>
    <xf numFmtId="0" fontId="8" fillId="5" borderId="2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2" fillId="0" borderId="2" xfId="0" quotePrefix="1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1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5" fillId="0" borderId="0" xfId="0" applyFont="1" applyFill="1" applyBorder="1" applyAlignment="1" applyProtection="1">
      <alignment horizontal="justify"/>
      <protection hidden="1"/>
    </xf>
    <xf numFmtId="0" fontId="2" fillId="4" borderId="9" xfId="0" applyFont="1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hidden="1"/>
    </xf>
    <xf numFmtId="0" fontId="87" fillId="0" borderId="0" xfId="0" applyFont="1" applyFill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0" fillId="0" borderId="9" xfId="0" applyFill="1" applyBorder="1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166" fontId="9" fillId="0" borderId="0" xfId="0" applyNumberFormat="1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alignment horizontal="center"/>
      <protection hidden="1"/>
    </xf>
    <xf numFmtId="0" fontId="0" fillId="0" borderId="3" xfId="0" applyFill="1" applyBorder="1" applyAlignment="1" applyProtection="1">
      <alignment horizontal="center"/>
      <protection hidden="1"/>
    </xf>
    <xf numFmtId="166" fontId="9" fillId="0" borderId="3" xfId="0" applyNumberFormat="1" applyFont="1" applyFill="1" applyBorder="1" applyAlignment="1" applyProtection="1">
      <alignment horizontal="center"/>
      <protection hidden="1"/>
    </xf>
    <xf numFmtId="39" fontId="2" fillId="0" borderId="2" xfId="2" applyNumberFormat="1" applyFont="1" applyFill="1" applyBorder="1" applyAlignment="1" applyProtection="1">
      <alignment horizontal="center" vertical="center"/>
      <protection hidden="1"/>
    </xf>
    <xf numFmtId="39" fontId="8" fillId="0" borderId="4" xfId="2" applyNumberFormat="1" applyFont="1" applyFill="1" applyBorder="1" applyAlignment="1" applyProtection="1">
      <alignment horizontal="center" vertical="center"/>
      <protection hidden="1"/>
    </xf>
    <xf numFmtId="39" fontId="8" fillId="0" borderId="9" xfId="2" applyNumberFormat="1" applyFont="1" applyFill="1" applyBorder="1" applyAlignment="1" applyProtection="1">
      <alignment horizontal="center" vertical="center"/>
      <protection hidden="1"/>
    </xf>
    <xf numFmtId="39" fontId="8" fillId="0" borderId="7" xfId="2" applyNumberFormat="1" applyFont="1" applyFill="1" applyBorder="1" applyAlignment="1" applyProtection="1">
      <alignment horizontal="center" vertical="center"/>
      <protection hidden="1"/>
    </xf>
    <xf numFmtId="1" fontId="8" fillId="0" borderId="0" xfId="0" applyNumberFormat="1" applyFont="1" applyFill="1" applyBorder="1" applyAlignment="1" applyProtection="1">
      <alignment horizontal="right" vertical="center" indent="1"/>
      <protection hidden="1"/>
    </xf>
    <xf numFmtId="3" fontId="8" fillId="0" borderId="0" xfId="2" applyNumberFormat="1" applyFont="1" applyFill="1" applyBorder="1" applyAlignment="1" applyProtection="1">
      <alignment horizontal="right" vertical="center" indent="1"/>
      <protection hidden="1"/>
    </xf>
    <xf numFmtId="0" fontId="8" fillId="0" borderId="0" xfId="0" applyFont="1" applyFill="1" applyBorder="1" applyAlignment="1" applyProtection="1">
      <alignment horizontal="right" vertical="center" indent="1"/>
      <protection hidden="1"/>
    </xf>
    <xf numFmtId="39" fontId="2" fillId="0" borderId="9" xfId="2" applyNumberFormat="1" applyFont="1" applyFill="1" applyBorder="1" applyAlignment="1" applyProtection="1">
      <alignment horizontal="center" vertical="center"/>
      <protection hidden="1"/>
    </xf>
    <xf numFmtId="39" fontId="2" fillId="0" borderId="7" xfId="2" applyNumberFormat="1" applyFont="1" applyFill="1" applyBorder="1" applyAlignment="1" applyProtection="1">
      <alignment horizontal="center" vertical="center"/>
      <protection hidden="1"/>
    </xf>
    <xf numFmtId="39" fontId="2" fillId="4" borderId="9" xfId="2" applyNumberFormat="1" applyFont="1" applyFill="1" applyBorder="1" applyAlignment="1" applyProtection="1">
      <alignment horizontal="center" vertical="center"/>
      <protection locked="0"/>
    </xf>
    <xf numFmtId="39" fontId="2" fillId="4" borderId="7" xfId="2" applyNumberFormat="1" applyFont="1" applyFill="1" applyBorder="1" applyAlignment="1" applyProtection="1">
      <alignment horizontal="center" vertical="center"/>
      <protection locked="0"/>
    </xf>
    <xf numFmtId="39" fontId="2" fillId="0" borderId="0" xfId="2" applyNumberFormat="1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vertical="center"/>
      <protection hidden="1"/>
    </xf>
    <xf numFmtId="0" fontId="0" fillId="0" borderId="3" xfId="0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0" xfId="0" applyFont="1" applyFill="1" applyAlignment="1" applyProtection="1">
      <alignment horizontal="left"/>
      <protection hidden="1"/>
    </xf>
    <xf numFmtId="1" fontId="2" fillId="0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168" fontId="2" fillId="0" borderId="0" xfId="0" applyNumberFormat="1" applyFont="1" applyFill="1" applyBorder="1" applyAlignment="1" applyProtection="1">
      <alignment horizontal="center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wrapText="1"/>
      <protection hidden="1"/>
    </xf>
    <xf numFmtId="9" fontId="2" fillId="0" borderId="0" xfId="0" applyNumberFormat="1" applyFont="1" applyFill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38" fillId="0" borderId="5" xfId="0" applyFont="1" applyFill="1" applyBorder="1" applyAlignment="1" applyProtection="1">
      <alignment horizontal="center" vertical="center" wrapText="1"/>
      <protection hidden="1"/>
    </xf>
    <xf numFmtId="0" fontId="38" fillId="0" borderId="6" xfId="0" applyFont="1" applyFill="1" applyBorder="1" applyAlignment="1" applyProtection="1">
      <alignment horizontal="center" vertical="center" wrapText="1"/>
      <protection hidden="1"/>
    </xf>
    <xf numFmtId="0" fontId="38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11" xfId="0" applyFont="1" applyFill="1" applyBorder="1" applyAlignment="1" applyProtection="1">
      <alignment horizontal="center" vertical="center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2" fillId="0" borderId="12" xfId="0" applyFont="1" applyFill="1" applyBorder="1" applyAlignment="1" applyProtection="1">
      <alignment horizontal="center" vertical="center"/>
      <protection hidden="1"/>
    </xf>
    <xf numFmtId="0" fontId="2" fillId="0" borderId="13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14" xfId="0" applyFont="1" applyFill="1" applyBorder="1" applyAlignment="1" applyProtection="1">
      <alignment horizontal="center" vertical="center"/>
      <protection hidden="1"/>
    </xf>
    <xf numFmtId="0" fontId="38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8" fillId="0" borderId="12" xfId="0" applyFont="1" applyFill="1" applyBorder="1" applyAlignment="1" applyProtection="1">
      <alignment horizontal="center" vertical="center"/>
      <protection hidden="1"/>
    </xf>
    <xf numFmtId="0" fontId="2" fillId="0" borderId="10" xfId="0" applyFont="1" applyFill="1" applyBorder="1" applyAlignment="1" applyProtection="1">
      <alignment horizontal="center" vertical="center" wrapText="1"/>
      <protection hidden="1"/>
    </xf>
    <xf numFmtId="0" fontId="2" fillId="0" borderId="8" xfId="0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Fill="1" applyBorder="1" applyAlignment="1" applyProtection="1">
      <alignment horizontal="center" vertical="center" wrapText="1"/>
      <protection hidden="1"/>
    </xf>
    <xf numFmtId="1" fontId="2" fillId="0" borderId="9" xfId="0" applyNumberFormat="1" applyFont="1" applyFill="1" applyBorder="1" applyAlignment="1" applyProtection="1">
      <alignment horizontal="center" vertical="center"/>
      <protection hidden="1"/>
    </xf>
    <xf numFmtId="1" fontId="2" fillId="0" borderId="7" xfId="0" applyNumberFormat="1" applyFont="1" applyFill="1" applyBorder="1" applyAlignment="1" applyProtection="1">
      <alignment horizontal="center" vertical="center"/>
      <protection hidden="1"/>
    </xf>
    <xf numFmtId="0" fontId="38" fillId="0" borderId="9" xfId="0" applyFont="1" applyFill="1" applyBorder="1" applyAlignment="1" applyProtection="1">
      <alignment horizontal="center"/>
      <protection hidden="1"/>
    </xf>
    <xf numFmtId="0" fontId="38" fillId="0" borderId="4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39" fontId="0" fillId="0" borderId="3" xfId="2" applyNumberFormat="1" applyFont="1" applyFill="1" applyBorder="1" applyAlignment="1" applyProtection="1">
      <alignment horizontal="center"/>
      <protection hidden="1"/>
    </xf>
    <xf numFmtId="2" fontId="0" fillId="4" borderId="3" xfId="2" applyNumberFormat="1" applyFont="1" applyFill="1" applyBorder="1" applyAlignment="1" applyProtection="1">
      <alignment horizontal="center"/>
      <protection locked="0"/>
    </xf>
    <xf numFmtId="39" fontId="8" fillId="0" borderId="3" xfId="2" applyNumberFormat="1" applyFont="1" applyFill="1" applyBorder="1" applyAlignment="1" applyProtection="1">
      <alignment horizontal="center"/>
      <protection hidden="1"/>
    </xf>
    <xf numFmtId="39" fontId="0" fillId="0" borderId="0" xfId="2" applyNumberFormat="1" applyFont="1" applyFill="1" applyAlignment="1" applyProtection="1">
      <alignment horizontal="center"/>
      <protection hidden="1"/>
    </xf>
    <xf numFmtId="39" fontId="8" fillId="0" borderId="4" xfId="2" applyNumberFormat="1" applyFont="1" applyFill="1" applyBorder="1" applyAlignment="1" applyProtection="1">
      <alignment horizontal="center"/>
      <protection hidden="1"/>
    </xf>
    <xf numFmtId="39" fontId="0" fillId="0" borderId="1" xfId="2" applyNumberFormat="1" applyFont="1" applyFill="1" applyBorder="1" applyAlignment="1" applyProtection="1">
      <alignment horizontal="center"/>
      <protection hidden="1"/>
    </xf>
    <xf numFmtId="3" fontId="8" fillId="0" borderId="0" xfId="0" applyNumberFormat="1" applyFont="1" applyFill="1" applyBorder="1" applyAlignment="1" applyProtection="1">
      <protection hidden="1"/>
    </xf>
    <xf numFmtId="3" fontId="8" fillId="0" borderId="0" xfId="2" applyNumberFormat="1" applyFont="1" applyFill="1" applyBorder="1" applyAlignment="1" applyProtection="1">
      <protection hidden="1"/>
    </xf>
    <xf numFmtId="0" fontId="0" fillId="0" borderId="0" xfId="0" applyFill="1" applyAlignment="1" applyProtection="1"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112" fillId="2" borderId="19" xfId="1" applyFont="1" applyFill="1" applyBorder="1" applyAlignment="1" applyProtection="1">
      <alignment horizontal="center" vertical="center"/>
      <protection hidden="1"/>
    </xf>
    <xf numFmtId="1" fontId="0" fillId="0" borderId="0" xfId="0" applyNumberFormat="1" applyFill="1" applyAlignment="1" applyProtection="1">
      <alignment horizontal="center"/>
      <protection hidden="1"/>
    </xf>
    <xf numFmtId="1" fontId="5" fillId="0" borderId="2" xfId="0" applyNumberFormat="1" applyFont="1" applyFill="1" applyBorder="1" applyAlignment="1" applyProtection="1">
      <alignment horizontal="center"/>
      <protection hidden="1"/>
    </xf>
    <xf numFmtId="2" fontId="0" fillId="0" borderId="0" xfId="2" applyNumberFormat="1" applyFont="1" applyFill="1" applyAlignment="1" applyProtection="1">
      <alignment horizontal="center"/>
      <protection hidden="1"/>
    </xf>
    <xf numFmtId="2" fontId="0" fillId="4" borderId="9" xfId="2" applyNumberFormat="1" applyFont="1" applyFill="1" applyBorder="1" applyAlignment="1" applyProtection="1">
      <alignment horizontal="center"/>
      <protection locked="0"/>
    </xf>
    <xf numFmtId="2" fontId="0" fillId="4" borderId="7" xfId="2" applyNumberFormat="1" applyFont="1" applyFill="1" applyBorder="1" applyAlignment="1" applyProtection="1">
      <alignment horizontal="center"/>
      <protection locked="0"/>
    </xf>
    <xf numFmtId="39" fontId="8" fillId="0" borderId="9" xfId="2" applyNumberFormat="1" applyFont="1" applyFill="1" applyBorder="1" applyAlignment="1" applyProtection="1">
      <alignment horizontal="center"/>
      <protection hidden="1"/>
    </xf>
    <xf numFmtId="39" fontId="8" fillId="0" borderId="7" xfId="2" applyNumberFormat="1" applyFont="1" applyFill="1" applyBorder="1" applyAlignment="1" applyProtection="1">
      <alignment horizontal="center"/>
      <protection hidden="1"/>
    </xf>
    <xf numFmtId="39" fontId="0" fillId="0" borderId="9" xfId="2" applyNumberFormat="1" applyFont="1" applyFill="1" applyBorder="1" applyAlignment="1" applyProtection="1">
      <alignment horizontal="center"/>
      <protection hidden="1"/>
    </xf>
    <xf numFmtId="39" fontId="0" fillId="0" borderId="7" xfId="2" applyNumberFormat="1" applyFont="1" applyFill="1" applyBorder="1" applyAlignment="1" applyProtection="1">
      <alignment horizontal="center"/>
      <protection hidden="1"/>
    </xf>
    <xf numFmtId="14" fontId="2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left"/>
      <protection hidden="1"/>
    </xf>
    <xf numFmtId="39" fontId="0" fillId="4" borderId="9" xfId="2" applyNumberFormat="1" applyFont="1" applyFill="1" applyBorder="1" applyAlignment="1" applyProtection="1">
      <alignment horizontal="center"/>
      <protection locked="0"/>
    </xf>
    <xf numFmtId="39" fontId="0" fillId="4" borderId="7" xfId="2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9" xfId="0" applyFont="1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vertical="center"/>
      <protection hidden="1"/>
    </xf>
    <xf numFmtId="0" fontId="2" fillId="0" borderId="4" xfId="0" applyFont="1" applyFill="1" applyBorder="1" applyAlignment="1" applyProtection="1">
      <alignment vertical="center"/>
      <protection hidden="1"/>
    </xf>
    <xf numFmtId="0" fontId="2" fillId="0" borderId="7" xfId="0" applyFont="1" applyFill="1" applyBorder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89" fillId="0" borderId="0" xfId="0" applyFont="1" applyFill="1" applyAlignment="1" applyProtection="1">
      <alignment horizontal="center"/>
      <protection hidden="1"/>
    </xf>
    <xf numFmtId="0" fontId="108" fillId="0" borderId="0" xfId="0" applyFont="1" applyFill="1" applyAlignment="1" applyProtection="1">
      <alignment horizontal="center"/>
      <protection hidden="1"/>
    </xf>
    <xf numFmtId="0" fontId="89" fillId="2" borderId="20" xfId="1" applyFont="1" applyFill="1" applyBorder="1" applyAlignment="1" applyProtection="1">
      <alignment horizontal="center" vertical="center"/>
      <protection hidden="1"/>
    </xf>
    <xf numFmtId="0" fontId="89" fillId="2" borderId="21" xfId="1" applyFont="1" applyFill="1" applyBorder="1" applyAlignment="1" applyProtection="1">
      <alignment horizontal="center" vertical="center"/>
      <protection hidden="1"/>
    </xf>
    <xf numFmtId="0" fontId="89" fillId="2" borderId="22" xfId="1" applyFont="1" applyFill="1" applyBorder="1" applyAlignment="1" applyProtection="1">
      <alignment horizontal="center" vertical="center"/>
      <protection hidden="1"/>
    </xf>
    <xf numFmtId="0" fontId="113" fillId="0" borderId="0" xfId="0" applyFont="1" applyFill="1" applyBorder="1" applyAlignment="1" applyProtection="1">
      <alignment horizontal="center"/>
      <protection hidden="1"/>
    </xf>
    <xf numFmtId="0" fontId="109" fillId="0" borderId="0" xfId="0" applyFont="1" applyFill="1" applyBorder="1" applyAlignment="1" applyProtection="1">
      <alignment horizontal="left"/>
      <protection hidden="1"/>
    </xf>
    <xf numFmtId="0" fontId="114" fillId="0" borderId="0" xfId="0" applyFont="1" applyFill="1" applyBorder="1" applyProtection="1">
      <protection hidden="1"/>
    </xf>
    <xf numFmtId="0" fontId="11" fillId="0" borderId="0" xfId="0" applyFont="1" applyFill="1" applyAlignment="1" applyProtection="1">
      <alignment vertical="top"/>
      <protection hidden="1"/>
    </xf>
    <xf numFmtId="0" fontId="11" fillId="0" borderId="0" xfId="0" applyFont="1" applyFill="1" applyAlignment="1" applyProtection="1">
      <alignment horizontal="right" vertical="top"/>
      <protection hidden="1"/>
    </xf>
  </cellXfs>
  <cellStyles count="3">
    <cellStyle name="Hiperlink" xfId="1" builtinId="8"/>
    <cellStyle name="Normal" xfId="0" builtinId="0"/>
    <cellStyle name="Vírgula" xfId="2" builtinId="3"/>
  </cellStyles>
  <dxfs count="0"/>
  <tableStyles count="0" defaultTableStyle="TableStyleMedium9" defaultPivotStyle="PivotStyleLight16"/>
  <colors>
    <mruColors>
      <color rgb="FF0000FF"/>
      <color rgb="FF663300"/>
      <color rgb="FFFFFFCC"/>
      <color rgb="FFCC9900"/>
      <color rgb="FFFF9900"/>
      <color rgb="FFFF9933"/>
      <color rgb="FFFFFF66"/>
      <color rgb="FF006600"/>
      <color rgb="FF008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77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Utilidades!H1"/><Relationship Id="rId3" Type="http://schemas.openxmlformats.org/officeDocument/2006/relationships/hyperlink" Target="#TabFertirrigacao!H1"/><Relationship Id="rId7" Type="http://schemas.openxmlformats.org/officeDocument/2006/relationships/hyperlink" Target="#Fertirrigacao!H1"/><Relationship Id="rId2" Type="http://schemas.openxmlformats.org/officeDocument/2006/relationships/hyperlink" Target="#ConilonFert!H1"/><Relationship Id="rId1" Type="http://schemas.openxmlformats.org/officeDocument/2006/relationships/hyperlink" Target="#FertirrigacaoGeral!H1"/><Relationship Id="rId6" Type="http://schemas.openxmlformats.org/officeDocument/2006/relationships/hyperlink" Target="#Gesso!H1"/><Relationship Id="rId11" Type="http://schemas.openxmlformats.org/officeDocument/2006/relationships/hyperlink" Target="#MorangoFert!H1"/><Relationship Id="rId5" Type="http://schemas.openxmlformats.org/officeDocument/2006/relationships/hyperlink" Target="#RecomendacaoMicro!H1"/><Relationship Id="rId10" Type="http://schemas.openxmlformats.org/officeDocument/2006/relationships/image" Target="../media/image1.jpeg"/><Relationship Id="rId4" Type="http://schemas.openxmlformats.org/officeDocument/2006/relationships/hyperlink" Target="#Culturas!H1"/><Relationship Id="rId9" Type="http://schemas.openxmlformats.org/officeDocument/2006/relationships/hyperlink" Target="#CultivoOrg!H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3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CustoNutriente!H1"/><Relationship Id="rId13" Type="http://schemas.openxmlformats.org/officeDocument/2006/relationships/hyperlink" Target="#Inicial!H1"/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12" Type="http://schemas.openxmlformats.org/officeDocument/2006/relationships/hyperlink" Target="#TeorFoliar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11" Type="http://schemas.openxmlformats.org/officeDocument/2006/relationships/hyperlink" Target="#Unidades!H1"/><Relationship Id="rId5" Type="http://schemas.openxmlformats.org/officeDocument/2006/relationships/hyperlink" Target="#Fertirrigacao!H1"/><Relationship Id="rId10" Type="http://schemas.openxmlformats.org/officeDocument/2006/relationships/hyperlink" Target="#Fertilizantes!H1"/><Relationship Id="rId4" Type="http://schemas.openxmlformats.org/officeDocument/2006/relationships/hyperlink" Target="#Gesso!H1"/><Relationship Id="rId9" Type="http://schemas.openxmlformats.org/officeDocument/2006/relationships/hyperlink" Target="#InterpretacaoAnalise!H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hyperlink" Target="#CafeArabica!A1"/><Relationship Id="rId1" Type="http://schemas.openxmlformats.org/officeDocument/2006/relationships/image" Target="../media/image4.jpe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hyperlink" Target="#CultivoOrg!H1"/><Relationship Id="rId3" Type="http://schemas.openxmlformats.org/officeDocument/2006/relationships/hyperlink" Target="#Culturas!H1"/><Relationship Id="rId7" Type="http://schemas.openxmlformats.org/officeDocument/2006/relationships/hyperlink" Target="#Utilidades!H1"/><Relationship Id="rId2" Type="http://schemas.openxmlformats.org/officeDocument/2006/relationships/image" Target="../media/image1.jpeg"/><Relationship Id="rId1" Type="http://schemas.openxmlformats.org/officeDocument/2006/relationships/image" Target="../media/image5.emf"/><Relationship Id="rId6" Type="http://schemas.openxmlformats.org/officeDocument/2006/relationships/hyperlink" Target="#Fertirrigacao!H1"/><Relationship Id="rId5" Type="http://schemas.openxmlformats.org/officeDocument/2006/relationships/hyperlink" Target="#Gesso!H1"/><Relationship Id="rId4" Type="http://schemas.openxmlformats.org/officeDocument/2006/relationships/hyperlink" Target="#RecomendacaoMicro!H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hyperlink" Target="#CafeConilon!A1"/><Relationship Id="rId1" Type="http://schemas.openxmlformats.org/officeDocument/2006/relationships/image" Target="../media/image4.jpe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hyperlink" Target="#RecomendacaoMicro!H1"/><Relationship Id="rId7" Type="http://schemas.openxmlformats.org/officeDocument/2006/relationships/hyperlink" Target="#CultivoOrg!H1"/><Relationship Id="rId2" Type="http://schemas.openxmlformats.org/officeDocument/2006/relationships/hyperlink" Target="#Culturas!H1"/><Relationship Id="rId1" Type="http://schemas.openxmlformats.org/officeDocument/2006/relationships/image" Target="../media/image1.jpeg"/><Relationship Id="rId6" Type="http://schemas.openxmlformats.org/officeDocument/2006/relationships/hyperlink" Target="#Utilidades!H1"/><Relationship Id="rId5" Type="http://schemas.openxmlformats.org/officeDocument/2006/relationships/hyperlink" Target="#Fertirrigacao!H1"/><Relationship Id="rId4" Type="http://schemas.openxmlformats.org/officeDocument/2006/relationships/hyperlink" Target="#Gesso!H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6</xdr:row>
      <xdr:rowOff>19050</xdr:rowOff>
    </xdr:from>
    <xdr:to>
      <xdr:col>15</xdr:col>
      <xdr:colOff>9524</xdr:colOff>
      <xdr:row>25</xdr:row>
      <xdr:rowOff>200025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00075" y="1781175"/>
          <a:ext cx="8553449" cy="61531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300">
              <a:latin typeface="+mn-lt"/>
            </a:rPr>
            <a:t>A planilha tem o objetivo facilitar os cálculos da quantidade de nutrientes a ser aplicada às culturas, com base na análise do solo e  na  produtividade esperada.  Foi elaborado  utilizando-se resultados de pesquisa conduzidas no estado do Espírito Santo principalmente  com  as  culturas do café arábica e conilon, e em tabelas de recomendação de adubação para o Estado do Espírito Santo (5° aprox.,2007) e de outros Estados como Minas Gerais (5° aprox.,1999) e São Paulo (1996).</a:t>
          </a:r>
        </a:p>
        <a:p>
          <a:r>
            <a:rPr lang="pt-BR" sz="1300">
              <a:latin typeface="+mn-lt"/>
            </a:rPr>
            <a:t>É importante que cada técnico (usuário deste software)  que  detenha  conhecimento referente à nutrição de determinadas culturas, analise  criticamente  as quantidades e a forma de aplicação dos nutrientes e nos comunique para que as modificações sejam feitas, aumentando, assim, cada vez mais a exatidão das recomendações.</a:t>
          </a:r>
        </a:p>
        <a:p>
          <a:endParaRPr lang="pt-BR" sz="1300">
            <a:latin typeface="+mn-lt"/>
          </a:endParaRPr>
        </a:p>
        <a:p>
          <a:r>
            <a:rPr lang="pt-B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MENU PRINCIPAL (navegação nas planilhas):</a:t>
          </a:r>
          <a:endParaRPr lang="pt-BR" sz="130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Adubação e Calagem</a:t>
          </a:r>
          <a:r>
            <a:rPr lang="pt-BR" sz="1300" b="1" baseline="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lang="pt-BR" sz="130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Recomendação de adubação e calagem para as culturas (cultivo convencional).</a:t>
          </a:r>
        </a:p>
        <a:p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Micronutrientes</a:t>
          </a:r>
          <a:r>
            <a:rPr lang="pt-BR" sz="1300" b="1" baseline="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lang="pt-BR" sz="130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Recomendação de adubação com micronutrientes.</a:t>
          </a:r>
        </a:p>
        <a:p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Fertirrigação →</a:t>
          </a:r>
          <a:r>
            <a:rPr lang="pt-BR" sz="130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Recomendação da quantidade de fertilizantes a serem utilizados na fertirrigação.</a:t>
          </a:r>
        </a:p>
        <a:p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Cultivo Orgânico →</a:t>
          </a:r>
          <a:r>
            <a:rPr lang="pt-BR" sz="130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Recomendação de adubação e calagem para cultivos orgânicos.</a:t>
          </a:r>
        </a:p>
        <a:p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Gesso →</a:t>
          </a:r>
          <a:r>
            <a:rPr lang="pt-BR" sz="130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Recomendação para aplicação de gesso agrícola no solo.</a:t>
          </a:r>
        </a:p>
        <a:p>
          <a:r>
            <a:rPr lang="pt-BR" sz="1300" b="1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Utilidades →</a:t>
          </a:r>
          <a:r>
            <a:rPr lang="pt-BR" sz="1300">
              <a:solidFill>
                <a:srgbClr val="6633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Informações adicionais.</a:t>
          </a:r>
        </a:p>
        <a:p>
          <a:endParaRPr lang="pt-BR" sz="1300">
            <a:latin typeface="+mn-lt"/>
          </a:endParaRPr>
        </a:p>
        <a:p>
          <a:r>
            <a:rPr lang="pt-BR" sz="1300">
              <a:latin typeface="+mn-lt"/>
            </a:rPr>
            <a:t>Para se obter a recomendação da quantidade de nutrientes, calcário e gesso, basta o usuário digitar as informações solicitadas nas células amarelas                   .</a:t>
          </a:r>
        </a:p>
        <a:p>
          <a:endParaRPr lang="pt-BR" sz="1300">
            <a:latin typeface="+mn-lt"/>
          </a:endParaRPr>
        </a:p>
        <a:p>
          <a:r>
            <a:rPr lang="pt-BR" sz="1300">
              <a:latin typeface="+mn-lt"/>
            </a:rPr>
            <a:t>Caminhe pelas células com bordas utilizando a tecla "TAB".</a:t>
          </a:r>
        </a:p>
        <a:p>
          <a:endParaRPr lang="pt-BR" sz="1300">
            <a:latin typeface="+mn-lt"/>
          </a:endParaRPr>
        </a:p>
        <a:p>
          <a:r>
            <a:rPr lang="pt-BR" sz="13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CONTATO:</a:t>
          </a:r>
        </a:p>
        <a:p>
          <a:r>
            <a:rPr lang="pt-BR" sz="13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Incaper/Gerencia de Pesquisa,</a:t>
          </a:r>
          <a:r>
            <a:rPr lang="pt-BR" sz="13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Desenvolvimento e Inovação - GPDI</a:t>
          </a:r>
          <a:endParaRPr lang="pt-BR" sz="13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3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Rua Afonso Sarlos, 160, Bairro</a:t>
          </a:r>
          <a:r>
            <a:rPr lang="pt-BR" sz="13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</a:t>
          </a:r>
          <a:r>
            <a:rPr lang="pt-BR" sz="1300">
              <a:latin typeface="+mn-lt"/>
            </a:rPr>
            <a:t>ento</a:t>
          </a:r>
          <a:r>
            <a:rPr lang="pt-BR" sz="1300" baseline="0">
              <a:latin typeface="+mn-lt"/>
            </a:rPr>
            <a:t> Ferreira  - </a:t>
          </a:r>
          <a:r>
            <a:rPr lang="pt-BR" sz="13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Vitória/ES - CEP: 29.052-010</a:t>
          </a:r>
        </a:p>
        <a:p>
          <a:r>
            <a:rPr lang="pt-BR" sz="13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Tel: (27) 3636-9875</a:t>
          </a:r>
          <a:r>
            <a:rPr lang="pt-BR" sz="1300">
              <a:latin typeface="+mn-lt"/>
            </a:rPr>
            <a:t> </a:t>
          </a:r>
        </a:p>
        <a:p>
          <a:r>
            <a:rPr lang="pt-BR" sz="13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gpdi@incaper.es.gov.br</a:t>
          </a:r>
        </a:p>
        <a:p>
          <a:endParaRPr lang="pt-BR" sz="13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300" b="1">
              <a:latin typeface="+mn-lt"/>
            </a:rPr>
            <a:t>Referência para citação bibliográfica:</a:t>
          </a:r>
        </a:p>
        <a:p>
          <a:r>
            <a:rPr lang="pt-BR" sz="1300" b="0">
              <a:latin typeface="+mn-lt"/>
            </a:rPr>
            <a:t>PREZOTTI, L.C. </a:t>
          </a:r>
          <a:r>
            <a:rPr lang="pt-BR" sz="1300" b="1">
              <a:latin typeface="+mn-lt"/>
            </a:rPr>
            <a:t>Sistema de recomendação de calagem e adubação</a:t>
          </a:r>
          <a:r>
            <a:rPr lang="pt-BR" sz="1300" b="0">
              <a:latin typeface="+mn-lt"/>
            </a:rPr>
            <a:t>. Disponível em: https://incaper.es.gov.br/ferramentas-de-apoio-tecnico . Acesso em ....... (D/M/A).</a:t>
          </a:r>
        </a:p>
      </xdr:txBody>
    </xdr:sp>
    <xdr:clientData/>
  </xdr:twoCellAnchor>
  <xdr:twoCellAnchor>
    <xdr:from>
      <xdr:col>4</xdr:col>
      <xdr:colOff>400050</xdr:colOff>
      <xdr:row>17</xdr:row>
      <xdr:rowOff>47625</xdr:rowOff>
    </xdr:from>
    <xdr:to>
      <xdr:col>5</xdr:col>
      <xdr:colOff>438150</xdr:colOff>
      <xdr:row>17</xdr:row>
      <xdr:rowOff>268433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 bwMode="auto">
        <a:xfrm>
          <a:off x="2838450" y="5267325"/>
          <a:ext cx="647700" cy="220808"/>
        </a:xfrm>
        <a:prstGeom prst="rect">
          <a:avLst/>
        </a:prstGeom>
        <a:solidFill>
          <a:srgbClr val="FFFFCC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0" y="14750"/>
          <a:ext cx="1620000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1631800" y="14750"/>
          <a:ext cx="1620000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6527200" y="14750"/>
          <a:ext cx="1620000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263600" y="14750"/>
          <a:ext cx="1620000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8159000" y="14750"/>
          <a:ext cx="1620000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895400" y="14750"/>
          <a:ext cx="1620000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16</xdr:col>
      <xdr:colOff>38100</xdr:colOff>
      <xdr:row>2</xdr:row>
      <xdr:rowOff>161925</xdr:rowOff>
    </xdr:from>
    <xdr:to>
      <xdr:col>18</xdr:col>
      <xdr:colOff>258900</xdr:colOff>
      <xdr:row>5</xdr:row>
      <xdr:rowOff>62775</xdr:rowOff>
    </xdr:to>
    <xdr:sp macro="" textlink="">
      <xdr:nvSpPr>
        <xdr:cNvPr id="13" name="Seta para a esquerda 12"/>
        <xdr:cNvSpPr/>
      </xdr:nvSpPr>
      <xdr:spPr bwMode="auto">
        <a:xfrm>
          <a:off x="9791700" y="790575"/>
          <a:ext cx="1440000" cy="720000"/>
        </a:xfrm>
        <a:prstGeom prst="leftArrow">
          <a:avLst/>
        </a:prstGeom>
        <a:solidFill>
          <a:sysClr val="window" lastClr="FFFFFF"/>
        </a:solidFill>
        <a:ln w="38100" cap="flat" cmpd="sng" algn="ctr">
          <a:solidFill>
            <a:srgbClr val="6633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1250" b="1">
              <a:solidFill>
                <a:srgbClr val="0000FF"/>
              </a:solidFill>
            </a:rPr>
            <a:t>MENU PRINCIPAL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Dispensar a adubação de cova caso se tenha cultivado anteriormente tomate, ou culturas normalmente bem adubadas.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10% de P2O5 para cada 5 toneladas de esterco de gado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Se utilizar esterco de cama de aves, reduzir a dose pela metade. Se utilizar esterco de gaiola, reduzir a dose para 1/3.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Fazer uma aplicação foliar de molibdato de amônio (0,4 g/L) antes da floração.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Produtividade esperada = 13.000 a 15.000 kg/ha.</a:t>
          </a: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CaixaDeTexto 8"/>
        <xdr:cNvSpPr txBox="1"/>
      </xdr:nvSpPr>
      <xdr:spPr>
        <a:xfrm>
          <a:off x="9144000" y="6715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14</xdr:col>
      <xdr:colOff>0</xdr:colOff>
      <xdr:row>35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5953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715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Repetir a adubação orgânica nas 2 primeiras amontoas (60 e 90 dias).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no caso de excessivo vigor vegetativo das plantas.</a:t>
          </a: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0" name="CaixaDeTexto 9"/>
        <xdr:cNvSpPr txBox="1"/>
      </xdr:nvSpPr>
      <xdr:spPr>
        <a:xfrm>
          <a:off x="1219200" y="7858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esperada: 6.000 kg/ha.</a:t>
          </a: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5762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esperada: 6.000 kg/ha.</a:t>
          </a: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667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5762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161925</xdr:rowOff>
    </xdr:to>
    <xdr:sp macro="" textlink="">
      <xdr:nvSpPr>
        <xdr:cNvPr id="9" name="CaixaDeTexto 8"/>
        <xdr:cNvSpPr txBox="1"/>
      </xdr:nvSpPr>
      <xdr:spPr>
        <a:xfrm>
          <a:off x="1219200" y="7477125"/>
          <a:ext cx="73152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Solos com teor de matéria orgânica maior que 4% cancelar a adubação de cobertura.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30.000 kg/ha.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Carlos Alberto Simões do Carmo; Luiz Carlos Prezotti.</a:t>
          </a:r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14</xdr:col>
      <xdr:colOff>0</xdr:colOff>
      <xdr:row>48</xdr:row>
      <xdr:rowOff>85725</xdr:rowOff>
    </xdr:to>
    <xdr:sp macro="" textlink="">
      <xdr:nvSpPr>
        <xdr:cNvPr id="10" name="CaixaDeTexto 9"/>
        <xdr:cNvSpPr txBox="1"/>
      </xdr:nvSpPr>
      <xdr:spPr>
        <a:xfrm>
          <a:off x="1219200" y="9382125"/>
          <a:ext cx="7315200" cy="1609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Informações Agronômicas -  Inhame (Taro)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Variedades: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Chinês, São Bento, Macaquinho.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Espaçamento: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Plantio em sulcos com cobertura de solo em torno de 6 a 7 cm. Distância entre linhas de 90 cm e entre plantas de 30 cm (37.000 plantas/ha).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Práticas culturais: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1º amontoas aos 40  a 60 dias após o plantio. 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Ciclo da cultura: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Região abaixo de 600 m: 5 a 7 meses.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Produtividade: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30 a 50 t/ha.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Pragas e Doenças: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Planta pouco afetada por insetos e fungos.</a:t>
          </a: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35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20.000 a 50.000 kg/ha de produto comercial.</a:t>
          </a: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0" name="CaixaDeTexto 9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14</xdr:col>
      <xdr:colOff>0</xdr:colOff>
      <xdr:row>43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096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334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14</xdr:col>
      <xdr:colOff>0</xdr:colOff>
      <xdr:row>45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858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9525</xdr:rowOff>
    </xdr:from>
    <xdr:to>
      <xdr:col>14</xdr:col>
      <xdr:colOff>0</xdr:colOff>
      <xdr:row>38</xdr:row>
      <xdr:rowOff>9525</xdr:rowOff>
    </xdr:to>
    <xdr:sp macro="" textlink="">
      <xdr:nvSpPr>
        <xdr:cNvPr id="9" name="CaixaDeTexto 8"/>
        <xdr:cNvSpPr txBox="1"/>
      </xdr:nvSpPr>
      <xdr:spPr>
        <a:xfrm>
          <a:off x="1219200" y="8820150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Em lavouras não irrigadas, as adubações devem ser feitas em períodos de chuva.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0" name="CaixaDeTexto 9"/>
        <xdr:cNvSpPr txBox="1"/>
      </xdr:nvSpPr>
      <xdr:spPr>
        <a:xfrm>
          <a:off x="1219200" y="6524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5762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35</xdr:row>
      <xdr:rowOff>1</xdr:rowOff>
    </xdr:to>
    <xdr:sp macro="" textlink="">
      <xdr:nvSpPr>
        <xdr:cNvPr id="9" name="CaixaDeTexto 8"/>
        <xdr:cNvSpPr txBox="1"/>
      </xdr:nvSpPr>
      <xdr:spPr>
        <a:xfrm>
          <a:off x="1219200" y="6143625"/>
          <a:ext cx="7315200" cy="1143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1º adubação de cobertura: 30 dias após a brotação.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2º adubação de cobertura: 60 dias após a brotação.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área recém desbravada, excluir a 2º adubação de cobertura.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A adubação pode ser dispensada se a mandioca for plantada após cultura adubada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20.000 kg/ha</a:t>
          </a:r>
        </a:p>
      </xdr:txBody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334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Solos com teor de matéria orgânica maior que 4 % cancelar a adubação de cobertura.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Carlos Alberto Simões do Carmo; Luiz Carlos Prezotti.</a:t>
          </a:r>
          <a:endParaRPr lang="pt-BR">
            <a:effectLst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40</xdr:row>
      <xdr:rowOff>1</xdr:rowOff>
    </xdr:from>
    <xdr:to>
      <xdr:col>14</xdr:col>
      <xdr:colOff>0</xdr:colOff>
      <xdr:row>47</xdr:row>
      <xdr:rowOff>1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219200" y="8362951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Os cálculos foram feitos com base na área útil de 7.000 m2/ha decanteiros e na demanda média para folhosas de 150 kg/ha de N.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Chorume de composto: Uma parte de composto para três partes de água (v/v).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No plantio, aplicar no máximo 5 kg/m2 de fertilizante orgânico. A quantidade excedente deve ser aplicada 30 dias após.</a:t>
          </a:r>
        </a:p>
        <a:p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Jacimar Luiz de Souza, João Batista Araujo, Luiz Carlos Prezotti.</a:t>
          </a:r>
        </a:p>
      </xdr:txBody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39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8048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maio)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3341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maio)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</a:t>
          </a:r>
          <a:r>
            <a:rPr lang="pt-B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t/ha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por vez em intervalos de no mínimo 10 meses.</a:t>
          </a:r>
          <a:r>
            <a:rPr lang="pt-BR"/>
            <a:t> 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9191625"/>
          <a:ext cx="73152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adubação de cobertura deve ser feita quando as plantas apresentarem de seis a oito</a:t>
          </a: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folhas bem desenvolvidas.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9763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conforme o vigor das plantas.</a:t>
          </a: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41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8429625"/>
          <a:ext cx="731520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Considerou-se 7500 m2/ha como área útil.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Após formados os canteiros, os fertilizantes recomendados  para  o  plantio  devem ser misturados nos 10 cm superiores do solo.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No caso de baixo vigor das plantas, recomenda-se aplicações foliares de solução de ureia a 5 g/L (0,5%), uma vez por semana.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Reduzir a dose de nitrogênio no caso de excessivo vigor vegetativo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Caso haja produção de frutos deformados, recomenda-se três aplicações de solução de ácido bórico a 3 g/L (0,3%), a cada semana, durante o florescimento.</a:t>
          </a: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58</xdr:row>
      <xdr:rowOff>0</xdr:rowOff>
    </xdr:from>
    <xdr:to>
      <xdr:col>14</xdr:col>
      <xdr:colOff>0</xdr:colOff>
      <xdr:row>63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12239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Iniciar a fertirrigação após o pegamento das mudas.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 injeção da solução deve iniciar após 25% do tempo de irrigação e encerrar 25% antes do término da irrigação para lavagem da tubulação.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Caso as plantas apresente vigor foliar excessivo, reduzir a adubação nitrogenada.</a:t>
          </a: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0" name="CaixaDeTexto 9"/>
        <xdr:cNvSpPr txBox="1"/>
      </xdr:nvSpPr>
      <xdr:spPr>
        <a:xfrm>
          <a:off x="1219200" y="6334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D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14</xdr:col>
      <xdr:colOff>0</xdr:colOff>
      <xdr:row>55</xdr:row>
      <xdr:rowOff>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D00-00000A000000}"/>
            </a:ext>
          </a:extLst>
        </xdr:cNvPr>
        <xdr:cNvSpPr txBox="1"/>
      </xdr:nvSpPr>
      <xdr:spPr>
        <a:xfrm>
          <a:off x="1219200" y="8620125"/>
          <a:ext cx="731520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Biofertilizante enriquecido com N e K: Dissolver em 700 litros de água, 100 kg de composto + 100 kg de parte aérea picada de mamona ou leguminosa + 20 kg de cinza. Agitar diariamente durante 7 dias. Utilizar o líquido sobrenadante. Pode-se reaproveitar os resíduos sólidos mais uma vez, completando com 700 litros de água.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Solos com teores de K abaixo de 80 mg/dm3, acrescentar no fertilizante orgânico resíduos ricos em potássio como cinzas, palha-de-café, folhas e pseudocaule de bananeira, etc.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Solos com teores de K acima de 400 mg/dm3, eliminar a suplementação com fontes potássicas.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Os cálculos foram feitos com base na área útil de 7.000 m2/ha de canteiros e na demanda média para folhosas de 150 kg/ha de N.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No plantio, aplicar no máximo 5 kg/m2 de fertilizante orgânico. A quantidade excedente deve ser aplicada 30 dias após.</a:t>
          </a:r>
        </a:p>
        <a:p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Jacimar Luiz de Souza; João Batista Araujo, Luiz Carlos Prezotti.</a:t>
          </a: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715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14</xdr:col>
      <xdr:colOff>0</xdr:colOff>
      <xdr:row>35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286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A700-000002000000}"/>
            </a:ext>
          </a:extLst>
        </xdr:cNvPr>
        <xdr:cNvSpPr txBox="1"/>
      </xdr:nvSpPr>
      <xdr:spPr>
        <a:xfrm>
          <a:off x="1219200" y="4048125"/>
          <a:ext cx="7315200" cy="361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Informações Técnicas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sistema de piquete rotacionado é aquele com elevado nível tecnológico (irrigação e fertilização) que possibilita maior taxa de lotação (4 - 7 UA/ha/ano). O sistema de pastagens semi-intensivas caracteriza-se por pastagens subdivididas com menores investimentos em irrigação e fertilização, proporcionando menores taxas de lotação (2 UA/ha/ano ou menos).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gramíneas tropicais caracterizam-se pela relativa tolerância à acidez do solo. Entretanto necessitam dos elementos Ca e Mg, que, geralmente, apresentam-se em baixos teores nos nossos solos. Portanto, a calagem é uma importante prática para fornecimento destes nutrientes. Nos cálculos de calagem deste programa, utilizou-se o método da saturação em bases (V):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Formação de pastagem extensiva: Calagem para elevar a saturação em bases a 60 %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Manutenção de pastagem extensiva: Calagem para elevar a saturação em bases a 60 %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Formação de pastagem intensiva: Calagem para elevar a saturação em bases a 70 %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Manutenção de pastagem intensiva: Calagem para elevar a saturação em bases a 60 %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Fosfato Natural: Sua incorporação ao solo não é recomendável devido à forte adsorção (complexação) de fósforo pelas argilas e óxidos presentes nos nossos solos, o que reduz drasticamente a capacidade de absorção de P pelas plantas. Quanto maior o contato do fósforo com o solo, maior será sua indisponibilidade. Para solos com baixa disponibilidade de P, onde será implantada pastagem extensiva, o fosfato natural poderá ser utilizado na dose de 300 a 600 kg/ha, aplicado em sulcos espaçados de 30 a 50 cm. Esta aplicação não elimina a necessidade de uma fonte solúvel no plantio, de preferência granulada, visando reduzir o contato do fósforo com o solo.</a:t>
          </a:r>
        </a:p>
      </xdr:txBody>
    </xdr:sp>
    <xdr:clientData/>
  </xdr:twoCellAnchor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39</xdr:row>
      <xdr:rowOff>0</xdr:rowOff>
    </xdr:from>
    <xdr:to>
      <xdr:col>14</xdr:col>
      <xdr:colOff>0</xdr:colOff>
      <xdr:row>48</xdr:row>
      <xdr:rowOff>0</xdr:rowOff>
    </xdr:to>
    <xdr:sp macro="" textlink="">
      <xdr:nvSpPr>
        <xdr:cNvPr id="12" name="CaixaDeTexto 11"/>
        <xdr:cNvSpPr txBox="1"/>
      </xdr:nvSpPr>
      <xdr:spPr>
        <a:xfrm>
          <a:off x="1219200" y="8239125"/>
          <a:ext cx="73152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Entende-se por talhão a área representada pela respectiva análise do solo.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 aplicação dos fertilizantes deverá ser localizada, próximo às sementes ou à muda. Recomenda-se, portanto, o plantio em sulco ou em cova, com utilização da plantadeira-adubadeira. No plantio a lanço, a aplicação deve ser superficial com leve incorporação.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Recomenda-se como fonte de fósforo o superfosfato simples granulado.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Os micronutrientes devem ser monitorados  por análise de solo e foliar.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Itamar Alvino de Souza, Luiz Carlos Prezotti.</a:t>
          </a: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286625"/>
          <a:ext cx="73152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Entende-se por talhão a área representada pela respectiva análise do solo.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 adubação deverá ser feita com o pasto rebaixado.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O adubo fosfatado deve ser aplicado de uma só vez, no início do período chuvoso. Se forem utilizados fosfatos naturais como fonte de fósforo, corrigir a dose com base no teor de fósforo solúvel em ácido cítrico.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A adubação com N e K deve ser parcelada em duas vezes, no início e no final do período chuvoso.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Os micronutrientes devem ser monitorados por análise de solo e foliar.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Itamar Alvino de Souza, Luiz Carlos Prezotti.</a:t>
          </a: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1</xdr:col>
      <xdr:colOff>600075</xdr:colOff>
      <xdr:row>37</xdr:row>
      <xdr:rowOff>0</xdr:rowOff>
    </xdr:from>
    <xdr:to>
      <xdr:col>13</xdr:col>
      <xdr:colOff>600075</xdr:colOff>
      <xdr:row>45</xdr:row>
      <xdr:rowOff>0</xdr:rowOff>
    </xdr:to>
    <xdr:sp macro="" textlink="">
      <xdr:nvSpPr>
        <xdr:cNvPr id="9" name="CaixaDeTexto 8"/>
        <xdr:cNvSpPr txBox="1"/>
      </xdr:nvSpPr>
      <xdr:spPr>
        <a:xfrm>
          <a:off x="1209675" y="7858125"/>
          <a:ext cx="73152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Entende-se por talhão a área representada pela respectiva análise do solo.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 primeira aplicação de N e K deve ser feita aos 40 dias após o início da emergência e as demais espaçadas de dois em dois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Recomenda-se como fonte de fósforo o superfosfato simples granulado.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Os micronutrientes devem ser monitorados  por análise de solo e foliar.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Itamar Alvino de Souza, Luiz Carlos Prezotti.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41</xdr:row>
      <xdr:rowOff>0</xdr:rowOff>
    </xdr:from>
    <xdr:to>
      <xdr:col>14</xdr:col>
      <xdr:colOff>0</xdr:colOff>
      <xdr:row>51</xdr:row>
      <xdr:rowOff>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SpPr txBox="1"/>
      </xdr:nvSpPr>
      <xdr:spPr>
        <a:xfrm>
          <a:off x="1219200" y="8429625"/>
          <a:ext cx="7315200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1) Solos com teores de K abaixo de 80 mg/dm3, acrescentar no fertilizante orgânico resíduos ricos em potássio como cinzas, palha-de-café, folhas e pseudocaule de bananeira, etc.</a:t>
          </a:r>
        </a:p>
        <a:p>
          <a:r>
            <a:rPr lang="pt-BR" sz="1100"/>
            <a:t>2) Solos com teores de K acima de 400 mg/dm3, eliminar a suplementação com fontes potássicas.</a:t>
          </a:r>
        </a:p>
        <a:p>
          <a:r>
            <a:rPr lang="pt-BR" sz="1100"/>
            <a:t>3) Aplicar na cova a dose máxima de 1000 g de fosfato. A quantidade excedente deve ser aplicada em cobertura, em volta da planta, logo após o plantio.</a:t>
          </a:r>
        </a:p>
        <a:p>
          <a:r>
            <a:rPr lang="pt-BR" sz="1100"/>
            <a:t>4) Aplicar na cova a dose máxima de 10 kg de fertilizante orgânico. A quantidade excedente deve ser aplicada em cobertura, em volta da planta, 30 dias após.</a:t>
          </a:r>
        </a:p>
        <a:p>
          <a:endParaRPr lang="pt-BR" sz="1100" b="1"/>
        </a:p>
        <a:p>
          <a:r>
            <a:rPr lang="pt-BR" sz="1100" b="1"/>
            <a:t>Equipe:</a:t>
          </a:r>
          <a:r>
            <a:rPr lang="pt-BR" sz="1100"/>
            <a:t> Jacimar Luiz de Souza, João Batista Araujo, Luiz Carlos Prezotti.</a:t>
          </a: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39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8048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Entende-se por talhão a área representada pela respectiva análise do solo.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Recomenda-se como fonte de fósforo o superfosfato simples granulado.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Os micronutrientes devem ser monitorados por análise de solo e foliar.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Itamar Alvino de Souza, Luiz Carlos Prezotti.</a:t>
          </a:r>
        </a:p>
      </xdr:txBody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9525</xdr:rowOff>
    </xdr:from>
    <xdr:to>
      <xdr:col>14</xdr:col>
      <xdr:colOff>0</xdr:colOff>
      <xdr:row>37</xdr:row>
      <xdr:rowOff>9525</xdr:rowOff>
    </xdr:to>
    <xdr:sp macro="" textlink="">
      <xdr:nvSpPr>
        <xdr:cNvPr id="11" name="CaixaDeTexto 10"/>
        <xdr:cNvSpPr txBox="1"/>
      </xdr:nvSpPr>
      <xdr:spPr>
        <a:xfrm>
          <a:off x="1219200" y="6343650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35.000 kg/ha de produto comercial.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Itamar Alvino de Souza, Luiz Carlos Prezotti.</a:t>
          </a:r>
        </a:p>
      </xdr:txBody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7151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t/ha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41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7286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t/ha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524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t/ha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33</xdr:row>
      <xdr:rowOff>95250</xdr:rowOff>
    </xdr:to>
    <xdr:sp macro="" textlink="">
      <xdr:nvSpPr>
        <xdr:cNvPr id="11" name="CaixaDeTexto 10"/>
        <xdr:cNvSpPr txBox="1"/>
      </xdr:nvSpPr>
      <xdr:spPr>
        <a:xfrm>
          <a:off x="1219200" y="6143625"/>
          <a:ext cx="731520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143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esperada: 30.000 kg/ha (3.000 caixas).</a:t>
          </a: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14</xdr:col>
      <xdr:colOff>0</xdr:colOff>
      <xdr:row>35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5953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As adubações devem ser feitas durante o período chuvoso (setembro - novembro - janeiro).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esperada: 6.000 kg/ha.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14</xdr:col>
      <xdr:colOff>0</xdr:colOff>
      <xdr:row>55</xdr:row>
      <xdr:rowOff>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/>
      </xdr:nvSpPr>
      <xdr:spPr>
        <a:xfrm>
          <a:off x="1219200" y="9572625"/>
          <a:ext cx="73152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Biofertilizante enriquecido com N e K: Dissolver em 700 litros de água, 100 kg de composto + 100 kg de parte aérea picada de mamona ou leguminosa + 20 kg de cinza. Agitar diariamente durante7 dias. Utilizar o líquido sobrenadante. Pode-se reaproveitar os resíduos sólidos mais uma vez, completando com 700 litros de água.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Solos com teores de K abaixo de 80 mg/dm3, acrescentar no fertilizante orgânico resíduos ricos em potássio como cinzas, palha-de-café, folhas e pseudocaule de bananeira, etc.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Solos com teores de K acima de 400 mg/dm3, eliminar a suplementação com fontes potássicas.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Jacimar Luiz de Souza; João Batista Araujo; Luiz Carlos Prezotti.</a:t>
          </a:r>
        </a:p>
        <a:p>
          <a:endParaRPr lang="pt-BR" sz="1100"/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CaixaDeTexto 3"/>
        <xdr:cNvSpPr txBox="1"/>
      </xdr:nvSpPr>
      <xdr:spPr>
        <a:xfrm>
          <a:off x="1219200" y="3086100"/>
          <a:ext cx="7315200" cy="400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400" b="1" i="0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Pupunha - Informações Agronômicas</a:t>
          </a:r>
          <a:endParaRPr lang="pt-BR" sz="1400">
            <a:solidFill>
              <a:srgbClr val="0000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1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 i="0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Espaçamento:  </a:t>
          </a:r>
          <a:r>
            <a:rPr lang="pt-BR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3,30 x 1,30 m  (3,330 pl/ha)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1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 i="0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Produtividade média:  </a:t>
          </a:r>
          <a:r>
            <a:rPr lang="pt-BR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3.300 hastes/ha/ano (Média de 1 haste por planta/ano)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1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 i="0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Início da colheita:  </a:t>
          </a:r>
          <a:r>
            <a:rPr lang="pt-BR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Aproximadamente dois anos após plantio.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Principal doença:</a:t>
          </a:r>
          <a:endParaRPr lang="pt-BR" sz="1100">
            <a:solidFill>
              <a:srgbClr val="0000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Antacnose: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doença causada pelo fungo  sendo responsável </a:t>
          </a:r>
          <a:r>
            <a:rPr lang="pt-BR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pela morte de grande número de plantas , se não for controlado. </a:t>
          </a:r>
          <a:r>
            <a:rPr lang="pt-BR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Somente ocorre em mudas no viveiro e após o plantio até a fase de lançamento das folhas definitivas</a:t>
          </a:r>
          <a:r>
            <a:rPr lang="pt-BR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que ocorre, 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aproximadamente, 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3 a 4 mese</a:t>
          </a:r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de idade. Após este período, não há mais incidência da antracnose .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Controle: </a:t>
          </a:r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Pulverizações quinzenais com fungicidas: Amistar, Cercobim, Sportak.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Principal praga:</a:t>
          </a:r>
          <a:endParaRPr lang="pt-BR" sz="1100">
            <a:solidFill>
              <a:srgbClr val="0000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Broca do coqueiro: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Besouro preto com estilete.</a:t>
          </a:r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Perfura  a base da haste e se alimenta da massa do palmito, causando a morte da planta.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Controle:  </a:t>
          </a:r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Após a colheita, há maior incidência da broca devido ao cheiro emanado das estirpes cortadas.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Geralmente não causam danos muito severos, sendo possível conviver sem necessidade de controle.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Cultivos próximos a coqueirais, a incidêcia pode ser maior uma vez que é uma das principais praga do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coqueiro. Imediatamente após a colheita, pulverizar somente o corte das estirpes com o inseticida Marchal.     </a:t>
          </a:r>
          <a:endParaRPr lang="pt-B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7286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Aplicar 30g/planta de FTE de 3 em 3 anos.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143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Fazer monitoramento com análise foliar para evitar desbalanços.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Na impossibilidade de incorporação do calcário, aplicar no máximo 3 t/ha por vez em intervalos de no mínimo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9525</xdr:rowOff>
    </xdr:from>
    <xdr:to>
      <xdr:col>14</xdr:col>
      <xdr:colOff>0</xdr:colOff>
      <xdr:row>35</xdr:row>
      <xdr:rowOff>9525</xdr:rowOff>
    </xdr:to>
    <xdr:sp macro="" textlink="">
      <xdr:nvSpPr>
        <xdr:cNvPr id="11" name="CaixaDeTexto 10"/>
        <xdr:cNvSpPr txBox="1"/>
      </xdr:nvSpPr>
      <xdr:spPr>
        <a:xfrm>
          <a:off x="1219200" y="6343650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no caso de excessivo vigor vegetativo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15.000 a 20.000 kg/ha.</a:t>
          </a: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canterios.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conforme o vigor das plantas.</a:t>
          </a:r>
        </a:p>
      </xdr:txBody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5953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50.000 kg/ha ou 2.000 sc/ha.</a:t>
          </a: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canterios.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conforme o vigor das plantas.</a:t>
          </a:r>
        </a:p>
      </xdr:txBody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14</xdr:col>
      <xdr:colOff>0</xdr:colOff>
      <xdr:row>43</xdr:row>
      <xdr:rowOff>0</xdr:rowOff>
    </xdr:to>
    <xdr:sp macro="" textlink="">
      <xdr:nvSpPr>
        <xdr:cNvPr id="13" name="CaixaDeTexto 12"/>
        <xdr:cNvSpPr txBox="1"/>
      </xdr:nvSpPr>
      <xdr:spPr>
        <a:xfrm>
          <a:off x="1219200" y="8048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adubação deverá ser parcelada durante o período chuvoso.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14</xdr:col>
      <xdr:colOff>0</xdr:colOff>
      <xdr:row>41</xdr:row>
      <xdr:rowOff>0</xdr:rowOff>
    </xdr:to>
    <xdr:sp macro="" textlink="">
      <xdr:nvSpPr>
        <xdr:cNvPr id="12" name="CaixaDeTexto 11"/>
        <xdr:cNvSpPr txBox="1"/>
      </xdr:nvSpPr>
      <xdr:spPr>
        <a:xfrm>
          <a:off x="1219200" y="7096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adubação deverá ser parcelada durante o período chuvoso.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esperada: 1.500 kg/ha de borracha seca.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/>
      </xdr:nvSpPr>
      <xdr:spPr>
        <a:xfrm>
          <a:off x="1219200" y="9001125"/>
          <a:ext cx="73152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1) A adubação de cobertura deve ser feita 90 a 120 dias após plantio por ocasião da amontoa, exceto para feijão-vagem que deve ser feita aos 45 dias.</a:t>
          </a:r>
        </a:p>
        <a:p>
          <a:r>
            <a:rPr lang="pt-BR" sz="1100"/>
            <a:t>2) Solos com teores de K abaixo de 80 mg/dm3, acrescentar no fertilizante orgânico resíduos ricos em potássio como cinzas, palha-de-café, folhas e pseudocaule de bananeira, etc.</a:t>
          </a:r>
        </a:p>
        <a:p>
          <a:r>
            <a:rPr lang="pt-BR" sz="1100"/>
            <a:t>3) Solos com teores de K acima de 400 mg/dm3, eliminar a suplementação com fontes potássicas.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Jacimar Luiz de Souza; João Batista Araujo; Luiz Carlos Prezotti.</a:t>
          </a: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3" name="CaixaDeTexto 12"/>
        <xdr:cNvSpPr txBox="1"/>
      </xdr:nvSpPr>
      <xdr:spPr>
        <a:xfrm>
          <a:off x="1219200" y="6334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adubação deverá ser parcelada durante o período chuvoso.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esperada: 1.500 kg/ha de borracha seca.</a:t>
          </a:r>
        </a:p>
      </xdr:txBody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2" name="CaixaDeTexto 11"/>
        <xdr:cNvSpPr txBox="1"/>
      </xdr:nvSpPr>
      <xdr:spPr>
        <a:xfrm>
          <a:off x="1219200" y="7096125"/>
          <a:ext cx="7315200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10% de P2O5 para cada 5 toneladas de esterco de gado ou 2 toneladas de esterco de aves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no caso de excessivo vigor vegetativo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No caso de ocorrência de podridão apical, pulverizar os frutos em formação com solução de 6 g/L de Cloreto de Cálcio semanalmente, enquanto persistir a ocorrência nos frutos novos.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A deficiência de magnésio (amarelo baixeiro) pode ser corrigida com pulverizações nas folhas de solução 20 g/L de sulfato de magnésio, duas a três vezes. A adição de 5 g/L de ureia favorece a absorção foliar do magnésio.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Produtividade esperada = 100 t/ha de produto comercial.</a:t>
          </a:r>
        </a:p>
      </xdr:txBody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42</xdr:row>
      <xdr:rowOff>28575</xdr:rowOff>
    </xdr:to>
    <xdr:sp macro="" textlink="">
      <xdr:nvSpPr>
        <xdr:cNvPr id="12" name="CaixaDeTexto 11"/>
        <xdr:cNvSpPr txBox="1"/>
      </xdr:nvSpPr>
      <xdr:spPr>
        <a:xfrm>
          <a:off x="1219200" y="7286625"/>
          <a:ext cx="7315200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novas ou com espaçamento largo, deve-se aplicar o calcário em faixas, nas linhas das plantas. Não aplicar calcário nas ruas (quando largas) para 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Para uvas tipo niágara, é aconselhável a pulverização dirigida dos cachos com 10 g/L de CaCl2 em duas a três aplicações a partir do início da maturação, espaçadas de uma semana. Isso evita o problema de degrana após a colheita e mesmo rachaduras em períodos chuvosos na maturação.</a:t>
          </a:r>
        </a:p>
      </xdr:txBody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42</xdr:row>
      <xdr:rowOff>0</xdr:rowOff>
    </xdr:from>
    <xdr:to>
      <xdr:col>14</xdr:col>
      <xdr:colOff>0</xdr:colOff>
      <xdr:row>51</xdr:row>
      <xdr:rowOff>0</xdr:rowOff>
    </xdr:to>
    <xdr:sp macro="" textlink="">
      <xdr:nvSpPr>
        <xdr:cNvPr id="13" name="CaixaDeTexto 12"/>
        <xdr:cNvSpPr txBox="1"/>
      </xdr:nvSpPr>
      <xdr:spPr>
        <a:xfrm>
          <a:off x="1219200" y="8239125"/>
          <a:ext cx="73152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poda de 1° ano de produção, utilizar a metade da dose recomendada acima.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Quando o teor de Boro no solo for inferior à 0,6 mg/dm3, aplicar no solo 1,5 kg/ha de B, logo após a poda ou em pulverização com solução contendo 1 g/litro de ácido bórico, sendo uma antes do florescimento e outra quando as bagas apresentarem tamanho de chumbinho.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Para uvas tipo niágara, é aconselhável a pulverização dirigida dos cachos com 10 g/L de CaCl2 em duas a três aplicações a partir do início da maturação, espaçadas de uma semana. Isso evita o problema de degrana após a colheita e mesmo rachaduras em períodos chuvosos na maturação.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Fazer monitoramento com análise foliar para evitar desbalanços.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1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41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1100-00000A000000}"/>
            </a:ext>
          </a:extLst>
        </xdr:cNvPr>
        <xdr:cNvSpPr txBox="1"/>
      </xdr:nvSpPr>
      <xdr:spPr>
        <a:xfrm>
          <a:off x="1219200" y="8429625"/>
          <a:ext cx="731520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Observação:</a:t>
          </a:r>
        </a:p>
        <a:p>
          <a:r>
            <a:rPr lang="pt-BR" sz="1100"/>
            <a:t>1) Caso não seja possível a incorporação do calcário, dividir em doses de, no máximo 3 t/ha, por vez, espaçadas de um período de, no mínimo, 10 meses.</a:t>
          </a:r>
        </a:p>
        <a:p>
          <a:r>
            <a:rPr lang="pt-BR" sz="1100"/>
            <a:t>2) Definir a forma de distribuição do calcário em função do manejo do solo nas entrelinhas.</a:t>
          </a:r>
        </a:p>
        <a:p>
          <a:r>
            <a:rPr lang="pt-BR" sz="1100"/>
            <a:t>3) Se o composto utilizado na cobertura apresentar teor de N menor que 2 %, utilizar como suplemento a fixação biológica de N, por meio de manejo de leguminosas nas entrelinhas ou por meio de cultivo de leguminosas arbóreas próximas ao cultivo, como banco de proteína permanente. Utiliza-se também resíduos agroindustriais, farelos ou tortas de oleaginosas.</a:t>
          </a:r>
        </a:p>
        <a:p>
          <a:r>
            <a:rPr lang="pt-BR" sz="1100"/>
            <a:t>4) Se o composto utilizado na cobertura apresentar teor de K menor que 2 %, utilizar como suplemento cinzas, sulfato de potássio, resíduos vegetais como palha de café, restos de bananeira, capim elefante triturado.</a:t>
          </a:r>
        </a:p>
        <a:p>
          <a:endParaRPr lang="pt-B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Jacimar Luiz de Souza, João Batista Araújo, Iosmar Luiz Mansk, Luiz Carlos Prezotti.</a:t>
          </a:r>
        </a:p>
        <a:p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/>
      </xdr:nvSpPr>
      <xdr:spPr>
        <a:xfrm>
          <a:off x="1219200" y="8810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Parcelar a quantidade de calcário em doses de, no máximo, 3 t/ha por aplicação, espaçadas de, no mínimo,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Aplicar as doses de adubos durante o período chuvoso.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No caso do resultado da análise não conter o P-rem, digitar o valor 20.</a:t>
          </a:r>
        </a:p>
        <a:p>
          <a:endParaRPr lang="pt-B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Jacimar Luiz de Souza, João Batista Araujo, Iosmar Luiz Mansk, Luiz Carlos Prezotti.</a:t>
          </a:r>
          <a:endParaRPr lang="pt-BR" sz="1100"/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3" name="CaixaDeTexto 3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34" name="CaixaDeTexto 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35" name="CaixaDeTexto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36" name="CaixaDeTexto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37" name="CaixaDeTexto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38" name="CaixaDeTexto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/>
      </xdr:nvSpPr>
      <xdr:spPr>
        <a:xfrm>
          <a:off x="1219200" y="90011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1) Parcelar a quantidade de calcário em doses de, no máximo, 3 t/ha por aplicação, espaçadas de, no mínimo, 10 meses.</a:t>
          </a:r>
        </a:p>
        <a:p>
          <a:r>
            <a:rPr lang="pt-BR" sz="1100"/>
            <a:t>2) Aplicar as doses de adubos durante o período chuvoso (floração, chumbinho e granação)</a:t>
          </a:r>
        </a:p>
        <a:p>
          <a:r>
            <a:rPr lang="pt-BR" sz="1100"/>
            <a:t>3) No caso do resultado da análise não conter o P-rem, digitar o valor 20.</a:t>
          </a:r>
        </a:p>
        <a:p>
          <a:endParaRPr lang="pt-BR" sz="1100"/>
        </a:p>
        <a:p>
          <a:r>
            <a:rPr lang="pt-BR" sz="1100" b="1"/>
            <a:t>Equipe:</a:t>
          </a:r>
          <a:r>
            <a:rPr lang="pt-BR" sz="1100"/>
            <a:t> Jacimar Luiz de Souza, João Batista Araujo, Iosmar Luiz Mansk, Luiz Carlos Prezotti.</a:t>
          </a:r>
        </a:p>
        <a:p>
          <a:endParaRPr lang="pt-B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600-00000A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600-00000B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C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600-00000D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600-00000E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600-00000F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1</xdr:col>
      <xdr:colOff>611036</xdr:colOff>
      <xdr:row>7</xdr:row>
      <xdr:rowOff>0</xdr:rowOff>
    </xdr:from>
    <xdr:to>
      <xdr:col>13</xdr:col>
      <xdr:colOff>611036</xdr:colOff>
      <xdr:row>12</xdr:row>
      <xdr:rowOff>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xmlns="" id="{00000000-0008-0000-1600-000010000000}"/>
            </a:ext>
          </a:extLst>
        </xdr:cNvPr>
        <xdr:cNvSpPr txBox="1"/>
      </xdr:nvSpPr>
      <xdr:spPr>
        <a:xfrm>
          <a:off x="1222074" y="1949929"/>
          <a:ext cx="7332453" cy="9435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Após discussões em vários simpósios e congressos, ficou convencionado a utilização das unidades aceitas pelo Sistema Internacional de Medidas. Por esta razão, muitas unidades já bem conhecidas pelos técnicos, como por exemplo: ppm, meq/100g e % para matéria orgânica e macronutrientes foliares entraram em desuso. Por esta razão, são citadas abaixo algumas relações de unidades para facilitar a interpretação das análises de solo e foliar.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700-00000A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700-00000B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C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700-00000D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700-00000E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700-00000F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15</xdr:col>
      <xdr:colOff>0</xdr:colOff>
      <xdr:row>9</xdr:row>
      <xdr:rowOff>190499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xmlns="" id="{00000000-0008-0000-1700-000010000000}"/>
            </a:ext>
          </a:extLst>
        </xdr:cNvPr>
        <xdr:cNvSpPr txBox="1"/>
      </xdr:nvSpPr>
      <xdr:spPr>
        <a:xfrm>
          <a:off x="609600" y="1952625"/>
          <a:ext cx="8534400" cy="571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Digite nas células amarelas o formulado a ser utilizado, o preço do formulado e o preço dos adubos simples (sulfato de amônio, super simples e cloreto de potássio). O preço médio por kg do nutriente é informado nas células de cor laranja.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800-000011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8" name="CaixaDeText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800-000012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9" name="CaixaDeText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13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20" name="CaixaDeText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800-000014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21" name="CaixaDeTexto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800-000015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22" name="CaixaDeTexto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800-000016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9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9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A00-00000C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A00-00000D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E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A00-00000F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A00-000010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A00-000011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B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B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C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C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8" name="CaixaDeTexto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D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D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D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14</xdr:col>
      <xdr:colOff>0</xdr:colOff>
      <xdr:row>41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667625"/>
          <a:ext cx="73152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Caso não seja possível a incorporação do calcário, dividir em doses de, no máximo 3 t/ha, por vez, espaçadas de um período de, no mínimo, 10 meses.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14</xdr:col>
      <xdr:colOff>0</xdr:colOff>
      <xdr:row>41</xdr:row>
      <xdr:rowOff>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xmlns="" id="{00000000-0008-0000-1F00-00000B000000}"/>
            </a:ext>
          </a:extLst>
        </xdr:cNvPr>
        <xdr:cNvSpPr txBox="1"/>
      </xdr:nvSpPr>
      <xdr:spPr>
        <a:xfrm>
          <a:off x="1219200" y="7096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1) A primeira aplicação deve ser feita na florada e as demais, espaçadas de 2 meses.</a:t>
          </a:r>
        </a:p>
        <a:p>
          <a:r>
            <a:rPr lang="pt-BR" sz="1100"/>
            <a:t>2) Em lavouras não irrigadas, as adubações devem ser feitas em períodos de chuva.</a:t>
          </a:r>
        </a:p>
        <a:p>
          <a:r>
            <a:rPr lang="pt-BR" sz="1100"/>
            <a:t>3) Fazer monitoramento com análise foliar para evitar desbalanços.</a:t>
          </a:r>
        </a:p>
        <a:p>
          <a:r>
            <a:rPr lang="pt-BR" sz="1100"/>
            <a:t>4) Na impossibilidade de incorporação do calcário, aplicar no máximo 3 t/ha por vez em intervalos de no mínimo 10 meses.</a:t>
          </a:r>
        </a:p>
        <a:p>
          <a:r>
            <a:rPr lang="pt-BR" sz="1100"/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endParaRPr lang="pt-BR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2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000-00000C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000-00000D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E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000-00000F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000-000010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000-000011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xmlns="" id="{00000000-0008-0000-2000-000012000000}"/>
            </a:ext>
          </a:extLst>
        </xdr:cNvPr>
        <xdr:cNvSpPr txBox="1"/>
      </xdr:nvSpPr>
      <xdr:spPr>
        <a:xfrm>
          <a:off x="1219200" y="7286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1) A primeira aplicação deve ser feita na florada e as demais, espaçadas de 2 meses.</a:t>
          </a:r>
        </a:p>
        <a:p>
          <a:r>
            <a:rPr lang="pt-BR" sz="1100"/>
            <a:t>2) Em lavouras não irrigadas, as adubações devem ser feitas em períodos de chuva.</a:t>
          </a:r>
        </a:p>
        <a:p>
          <a:r>
            <a:rPr lang="pt-BR" sz="1100"/>
            <a:t>3) Fazer monitoramento com análise foliar para evitar desbalanços.</a:t>
          </a:r>
        </a:p>
        <a:p>
          <a:r>
            <a:rPr lang="pt-BR" sz="1100"/>
            <a:t>4) Na impossibilidade de incorporação do calcário, aplicar no máximo 3 t/ha por vez em intervalos de no mínimo 10 meses.</a:t>
          </a:r>
        </a:p>
        <a:p>
          <a:r>
            <a:rPr lang="pt-BR" sz="1100"/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2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100-00000C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100-00000D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E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100-00000F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100-000010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100-000011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39</xdr:row>
      <xdr:rowOff>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xmlns="" id="{00000000-0008-0000-2100-000012000000}"/>
            </a:ext>
          </a:extLst>
        </xdr:cNvPr>
        <xdr:cNvSpPr txBox="1"/>
      </xdr:nvSpPr>
      <xdr:spPr>
        <a:xfrm>
          <a:off x="1219200" y="6715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1) A primeira aplicação deve ser feita na florada e as demais, espaçadas de 2 meses.</a:t>
          </a:r>
        </a:p>
        <a:p>
          <a:r>
            <a:rPr lang="pt-BR" sz="1100"/>
            <a:t>2) Em lavouras não irrigadas, as adubações devem ser feitas em períodos de chuva.</a:t>
          </a:r>
        </a:p>
        <a:p>
          <a:r>
            <a:rPr lang="pt-BR" sz="1100"/>
            <a:t>3) Fazer monitoramento com análise foliar para evitar desbalanços.</a:t>
          </a:r>
        </a:p>
        <a:p>
          <a:r>
            <a:rPr lang="pt-BR" sz="1100"/>
            <a:t>4) Na impossibilidade de incorporação do calcário, aplicar no máximo 3 t/ha por vez em intervalos de no mínimo 10 meses.</a:t>
          </a:r>
        </a:p>
        <a:p>
          <a:r>
            <a:rPr lang="pt-BR" sz="1100"/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200-000006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200-000007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200-000009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200-00000A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200-00000B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33</xdr:row>
      <xdr:rowOff>1</xdr:rowOff>
    </xdr:from>
    <xdr:to>
      <xdr:col>14</xdr:col>
      <xdr:colOff>0</xdr:colOff>
      <xdr:row>38</xdr:row>
      <xdr:rowOff>1</xdr:rowOff>
    </xdr:to>
    <xdr:sp macro="" textlink="">
      <xdr:nvSpPr>
        <xdr:cNvPr id="2" name="CaixaDeTexto 1"/>
        <xdr:cNvSpPr txBox="1"/>
      </xdr:nvSpPr>
      <xdr:spPr>
        <a:xfrm>
          <a:off x="1219200" y="7477126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Reduzir 10 % de P2O5 para cada 5 toneladas de esterco de gado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Adubação da soca: Aplicar metade da recomendação acima, aplicando os adubos nas axilas das folhas velhas, tomando o cuidado de não deixar cair adubo no interior da roseta foliar.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50.000 kg/ha.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3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3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2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300-00000C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300-00000D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E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300-00000F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300-000010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300-000011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xmlns="" id="{00000000-0008-0000-2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9" name="CaixaDeTexto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300-00001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20" name="CaixaDeText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300-00001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21" name="CaixaDeTexto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1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22" name="CaixaDeTexto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300-00001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23" name="CaixaDeTexto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300-00001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24" name="CaixaDeTexto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300-00001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25" name="CaixaDeTexto 24"/>
        <xdr:cNvSpPr txBox="1"/>
      </xdr:nvSpPr>
      <xdr:spPr>
        <a:xfrm>
          <a:off x="1219200" y="6715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20.000 a 24.000 kg/ha.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4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4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15.000 a 18.000 kg/ha.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57600</xdr:colOff>
      <xdr:row>7</xdr:row>
      <xdr:rowOff>165825</xdr:rowOff>
    </xdr:from>
    <xdr:to>
      <xdr:col>7</xdr:col>
      <xdr:colOff>28800</xdr:colOff>
      <xdr:row>8</xdr:row>
      <xdr:rowOff>211500</xdr:rowOff>
    </xdr:to>
    <xdr:sp macro="" textlink="">
      <xdr:nvSpPr>
        <xdr:cNvPr id="9" name="CaixaDeText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/>
      </xdr:nvSpPr>
      <xdr:spPr>
        <a:xfrm>
          <a:off x="2496000" y="2242275"/>
          <a:ext cx="180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Fertirrigação Geral</a:t>
          </a:r>
        </a:p>
      </xdr:txBody>
    </xdr:sp>
    <xdr:clientData/>
  </xdr:twoCellAnchor>
  <xdr:twoCellAnchor>
    <xdr:from>
      <xdr:col>9</xdr:col>
      <xdr:colOff>28800</xdr:colOff>
      <xdr:row>7</xdr:row>
      <xdr:rowOff>165825</xdr:rowOff>
    </xdr:from>
    <xdr:to>
      <xdr:col>12</xdr:col>
      <xdr:colOff>0</xdr:colOff>
      <xdr:row>8</xdr:row>
      <xdr:rowOff>211500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/>
      </xdr:nvSpPr>
      <xdr:spPr>
        <a:xfrm>
          <a:off x="5515200" y="2242275"/>
          <a:ext cx="180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Fertirrigação Conilon</a:t>
          </a:r>
        </a:p>
      </xdr:txBody>
    </xdr:sp>
    <xdr:clientData/>
  </xdr:twoCellAnchor>
  <xdr:twoCellAnchor>
    <xdr:from>
      <xdr:col>4</xdr:col>
      <xdr:colOff>57600</xdr:colOff>
      <xdr:row>8</xdr:row>
      <xdr:rowOff>268650</xdr:rowOff>
    </xdr:from>
    <xdr:to>
      <xdr:col>7</xdr:col>
      <xdr:colOff>28800</xdr:colOff>
      <xdr:row>10</xdr:row>
      <xdr:rowOff>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/>
      </xdr:nvSpPr>
      <xdr:spPr>
        <a:xfrm>
          <a:off x="2496000" y="2659425"/>
          <a:ext cx="180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Tabela</a:t>
          </a:r>
          <a:r>
            <a:rPr lang="pt-BR" sz="1300" b="1" baseline="0">
              <a:solidFill>
                <a:srgbClr val="663300"/>
              </a:solidFill>
            </a:rPr>
            <a:t> de </a:t>
          </a:r>
          <a:r>
            <a:rPr lang="pt-BR" sz="13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8" name="CaixaDeTexto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9</xdr:col>
      <xdr:colOff>28800</xdr:colOff>
      <xdr:row>8</xdr:row>
      <xdr:rowOff>268650</xdr:rowOff>
    </xdr:from>
    <xdr:to>
      <xdr:col>12</xdr:col>
      <xdr:colOff>0</xdr:colOff>
      <xdr:row>10</xdr:row>
      <xdr:rowOff>0</xdr:rowOff>
    </xdr:to>
    <xdr:sp macro="" textlink="">
      <xdr:nvSpPr>
        <xdr:cNvPr id="12" name="CaixaDeText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/>
      </xdr:nvSpPr>
      <xdr:spPr>
        <a:xfrm>
          <a:off x="5515200" y="2659425"/>
          <a:ext cx="180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Fertirrigação Morango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6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6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14</xdr:col>
      <xdr:colOff>0</xdr:colOff>
      <xdr:row>43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7858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27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27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19050</xdr:rowOff>
    </xdr:from>
    <xdr:to>
      <xdr:col>14</xdr:col>
      <xdr:colOff>0</xdr:colOff>
      <xdr:row>36</xdr:row>
      <xdr:rowOff>19050</xdr:rowOff>
    </xdr:to>
    <xdr:sp macro="" textlink="">
      <xdr:nvSpPr>
        <xdr:cNvPr id="11" name="CaixaDeTexto 10"/>
        <xdr:cNvSpPr txBox="1"/>
      </xdr:nvSpPr>
      <xdr:spPr>
        <a:xfrm>
          <a:off x="1219200" y="616267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37</xdr:row>
      <xdr:rowOff>171450</xdr:rowOff>
    </xdr:to>
    <xdr:sp macro="" textlink="">
      <xdr:nvSpPr>
        <xdr:cNvPr id="11" name="CaixaDeTexto 10"/>
        <xdr:cNvSpPr txBox="1"/>
      </xdr:nvSpPr>
      <xdr:spPr>
        <a:xfrm>
          <a:off x="1219200" y="6143625"/>
          <a:ext cx="7315200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Após formados os canteiros, os fertilizantes recomendados para o plantio devem ser aplicados por m2 de canteiro e incorporados a uma profundidade de 10 a 15 cm.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No caso de baixo vigor das plantas, recomenda-se fazer quatro aplicações foliares de solução 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ureia a 5 g/L por semana.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 = 21.000 kg/ha ou 9.000 dúzias ou 1.500 engradados/ha.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34</xdr:row>
      <xdr:rowOff>180975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Reduzir 10 % de P2O5 para cada 5 toneladas de esterco de gado ou 2 toneladas de esterco de galinha.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Produtividade esperada: 2.000 a 2.500 kg/ha.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2" name="CaixaDeTexto 11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Aplicar os adubos nos sulcos de plantio, considerando aproximadamente 4 m de sulco/m2.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Produtividade esperada = 10.000 a 12.000 kg/ha.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E00-000009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39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715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143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primeira aplicação deve ser feita na florada e as demais, espaçadas de 2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lavouras não irrigadas, as adubações devem ser feitas em períodos de chuva.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5953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Adubação de cobertura aos 50 dias da emergência (diferenciaçãodo promórdio floral).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 aplicação dos adubos no sulco deve ser 5 cm abaixo e 5 cm ao lado das sementes.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2.500 a 3.000 kg/ha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19050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162675"/>
          <a:ext cx="731520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 1º Adubação de cobertura: 20 dias da emergência.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2º Adubação de cobertura:  50 dias da emergência (diferenciação do primórdio floral).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Sob inundação não utilizar N na forma nítrica.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A aplicação de cobertura poderá ser feita: A lanço ou em filete, após a retirada da água com posterior reinundação dois dias após; A lanço ou em filite sobre a lâmina de água (neste caso, não renovar a água de irrigação por dois dias).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5.000 a 6.000 kg/ha.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361950</xdr:colOff>
      <xdr:row>2</xdr:row>
      <xdr:rowOff>271350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7477125"/>
          <a:ext cx="73152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Caso não seja possível a incorporação do calcário. Parcelar em doses de, no máximo, 3 t/ha por aplicação, e espaçadas entre aplicações de, no mínimo, 10 meses.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47</xdr:row>
      <xdr:rowOff>9525</xdr:rowOff>
    </xdr:from>
    <xdr:to>
      <xdr:col>14</xdr:col>
      <xdr:colOff>0</xdr:colOff>
      <xdr:row>52</xdr:row>
      <xdr:rowOff>9525</xdr:rowOff>
    </xdr:to>
    <xdr:sp macro="" textlink="">
      <xdr:nvSpPr>
        <xdr:cNvPr id="11" name="CaixaDeTexto 10"/>
        <xdr:cNvSpPr txBox="1"/>
      </xdr:nvSpPr>
      <xdr:spPr>
        <a:xfrm>
          <a:off x="1219200" y="9582150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As adubações com nitrogênio devem ser feitas em períodos de chuva, entre os meses de setembro e março.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Distribuir os adubos em círculo, tomando como referência o rebento mais jovem.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A relação K/Mg deve ser maior que 0,4 para evitar o "azul da bananeira" por deficiência de Mg ou excesso de K.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9572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As adubações com nitrogênio devem ser feitas em períodos de chuva, entre os meses de setembro e março.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Distribuir os adubos em círculo, tomando como referência o rebento mais jovem.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A relação K/Mg deve ser maior que 0,4 para evitar o "azul da bananeira" por deficiência de Mg ou excesso de K.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3341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40.000 kg/ha ou 1.818 caixas.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334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70 t/ha.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9525</xdr:rowOff>
    </xdr:from>
    <xdr:to>
      <xdr:col>14</xdr:col>
      <xdr:colOff>0</xdr:colOff>
      <xdr:row>35</xdr:row>
      <xdr:rowOff>9525</xdr:rowOff>
    </xdr:to>
    <xdr:sp macro="" textlink="">
      <xdr:nvSpPr>
        <xdr:cNvPr id="11" name="CaixaDeTexto 10"/>
        <xdr:cNvSpPr txBox="1"/>
      </xdr:nvSpPr>
      <xdr:spPr>
        <a:xfrm>
          <a:off x="1219200" y="5962650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Reduzir 10% de P2O5 para cada  5 toneladas de esterco bovino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20.000 kg/ha ou 13.000 maços.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8</xdr:col>
      <xdr:colOff>168000</xdr:colOff>
      <xdr:row>8</xdr:row>
      <xdr:rowOff>134325</xdr:rowOff>
    </xdr:from>
    <xdr:to>
      <xdr:col>13</xdr:col>
      <xdr:colOff>0</xdr:colOff>
      <xdr:row>9</xdr:row>
      <xdr:rowOff>180000</xdr:rowOff>
    </xdr:to>
    <xdr:sp macro="" textlink="">
      <xdr:nvSpPr>
        <xdr:cNvPr id="18" name="CaixaDeTexto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5044800" y="2210775"/>
          <a:ext cx="288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Custo/kg de nutriente dos fertilizantes</a:t>
          </a:r>
        </a:p>
      </xdr:txBody>
    </xdr:sp>
    <xdr:clientData/>
  </xdr:twoCellAnchor>
  <xdr:twoCellAnchor>
    <xdr:from>
      <xdr:col>2</xdr:col>
      <xdr:colOff>168000</xdr:colOff>
      <xdr:row>7</xdr:row>
      <xdr:rowOff>0</xdr:rowOff>
    </xdr:from>
    <xdr:to>
      <xdr:col>7</xdr:col>
      <xdr:colOff>0</xdr:colOff>
      <xdr:row>8</xdr:row>
      <xdr:rowOff>45675</xdr:rowOff>
    </xdr:to>
    <xdr:sp macro="" textlink="">
      <xdr:nvSpPr>
        <xdr:cNvPr id="19" name="CaixaDeTexto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387200" y="1762125"/>
          <a:ext cx="288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Interpretação análise de solo</a:t>
          </a:r>
        </a:p>
      </xdr:txBody>
    </xdr:sp>
    <xdr:clientData/>
  </xdr:twoCellAnchor>
  <xdr:twoCellAnchor>
    <xdr:from>
      <xdr:col>8</xdr:col>
      <xdr:colOff>168000</xdr:colOff>
      <xdr:row>7</xdr:row>
      <xdr:rowOff>0</xdr:rowOff>
    </xdr:from>
    <xdr:to>
      <xdr:col>13</xdr:col>
      <xdr:colOff>0</xdr:colOff>
      <xdr:row>8</xdr:row>
      <xdr:rowOff>45675</xdr:rowOff>
    </xdr:to>
    <xdr:sp macro="" textlink="">
      <xdr:nvSpPr>
        <xdr:cNvPr id="20" name="CaixaDeText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5044800" y="1762125"/>
          <a:ext cx="288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Fertilizantes</a:t>
          </a:r>
        </a:p>
      </xdr:txBody>
    </xdr:sp>
    <xdr:clientData/>
  </xdr:twoCellAnchor>
  <xdr:twoCellAnchor>
    <xdr:from>
      <xdr:col>2</xdr:col>
      <xdr:colOff>168000</xdr:colOff>
      <xdr:row>9</xdr:row>
      <xdr:rowOff>257175</xdr:rowOff>
    </xdr:from>
    <xdr:to>
      <xdr:col>7</xdr:col>
      <xdr:colOff>0</xdr:colOff>
      <xdr:row>10</xdr:row>
      <xdr:rowOff>302850</xdr:rowOff>
    </xdr:to>
    <xdr:sp macro="" textlink="">
      <xdr:nvSpPr>
        <xdr:cNvPr id="21" name="CaixaDeTexto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387200" y="2647950"/>
          <a:ext cx="288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Transformação de unidades</a:t>
          </a:r>
        </a:p>
      </xdr:txBody>
    </xdr:sp>
    <xdr:clientData/>
  </xdr:twoCellAnchor>
  <xdr:twoCellAnchor>
    <xdr:from>
      <xdr:col>2</xdr:col>
      <xdr:colOff>168000</xdr:colOff>
      <xdr:row>8</xdr:row>
      <xdr:rowOff>128588</xdr:rowOff>
    </xdr:from>
    <xdr:to>
      <xdr:col>7</xdr:col>
      <xdr:colOff>0</xdr:colOff>
      <xdr:row>9</xdr:row>
      <xdr:rowOff>174263</xdr:rowOff>
    </xdr:to>
    <xdr:sp macro="" textlink="">
      <xdr:nvSpPr>
        <xdr:cNvPr id="22" name="CaixaDeTexto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387200" y="2205038"/>
          <a:ext cx="288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663300"/>
              </a:solidFill>
            </a:rPr>
            <a:t>Interpretação análise foliar</a:t>
          </a:r>
        </a:p>
      </xdr:txBody>
    </xdr:sp>
    <xdr:clientData/>
  </xdr:twoCellAnchor>
  <xdr:twoCellAnchor>
    <xdr:from>
      <xdr:col>8</xdr:col>
      <xdr:colOff>168000</xdr:colOff>
      <xdr:row>9</xdr:row>
      <xdr:rowOff>268650</xdr:rowOff>
    </xdr:from>
    <xdr:to>
      <xdr:col>13</xdr:col>
      <xdr:colOff>0</xdr:colOff>
      <xdr:row>11</xdr:row>
      <xdr:rowOff>0</xdr:rowOff>
    </xdr:to>
    <xdr:sp macro="" textlink="">
      <xdr:nvSpPr>
        <xdr:cNvPr id="23" name="CaixaDeTexto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5044800" y="2659425"/>
          <a:ext cx="2880000" cy="360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300" b="1">
              <a:solidFill>
                <a:srgbClr val="0000FF"/>
              </a:solidFill>
            </a:rPr>
            <a:t>Apresentação inicial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14</xdr:col>
      <xdr:colOff>0</xdr:colOff>
      <xdr:row>39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7096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32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6715125"/>
          <a:ext cx="73152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impossibilidade de incorporação do calcário, aplicar no máximo 3 t/ha por vez em intervalos de no mínimo 10 meses.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5762625"/>
          <a:ext cx="73152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1) Distribuir as adubações durante o período chuvoso.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Na impossibilidade de incorporação do calcário, aplicar no máximo 3 t/ha por vez em intervalo de no mínimo 10 meses.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8" name="CaixaDeTexto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9" name="CaixaDeTexto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20" name="CaixaDeText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21" name="CaixaDeTexto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3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22" name="CaixaDeTexto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3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23" name="CaixaDeTexto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3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3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3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3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7" name="CaixaDeText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3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8" name="CaixaDeText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3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9" name="CaixaDeText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3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16" name="CaixaDeTexto 15"/>
        <xdr:cNvSpPr txBox="1"/>
      </xdr:nvSpPr>
      <xdr:spPr>
        <a:xfrm>
          <a:off x="1219200" y="9572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Parcelar a quantidade de calcário em doses de, no máximo, 3 t/ha por aplicação, espaçadas de, no mínimo,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Aplicar as doses de N e K durante o período chuvoso (floração, chumbinho e granação)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No caso do resultado da análise não conter o P-rem, digitar o valor 20.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Aledir Cassiano da Rocha, Aldemar Polonini Morelli, André Guarçoni, Aymbiré Francisco Almeida da Fonseca, Luiz Carlos Prezotti, Maria Amélia Gava Ferrão, Maurício José Fornazier.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42</xdr:row>
      <xdr:rowOff>1</xdr:rowOff>
    </xdr:from>
    <xdr:to>
      <xdr:col>14</xdr:col>
      <xdr:colOff>0</xdr:colOff>
      <xdr:row>48</xdr:row>
      <xdr:rowOff>1</xdr:rowOff>
    </xdr:to>
    <xdr:sp macro="" textlink="">
      <xdr:nvSpPr>
        <xdr:cNvPr id="9" name="CaixaDeTexto 8"/>
        <xdr:cNvSpPr txBox="1"/>
      </xdr:nvSpPr>
      <xdr:spPr>
        <a:xfrm>
          <a:off x="1219200" y="8239126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Parcelar a quantidade de calcário em doses de, no máximo,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t/ha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aplicação, espaçadas de, no mínimo, 6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No segundo ano após a recepa, seguir recomendação de adubação de produção.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Aledir Cassiano da Rocha, Aldemar Polonini Morelli, André Guarçoni, Aymbiré Francisco Almeida da Fonseca, Luiz Carlos Prezotti, Maria Amélia Gava Ferrão, Maurício José Fornazier.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1</xdr:colOff>
      <xdr:row>47</xdr:row>
      <xdr:rowOff>0</xdr:rowOff>
    </xdr:from>
    <xdr:to>
      <xdr:col>14</xdr:col>
      <xdr:colOff>0</xdr:colOff>
      <xdr:row>53</xdr:row>
      <xdr:rowOff>47625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219201" y="9763125"/>
          <a:ext cx="7315199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Observações:</a:t>
          </a:r>
        </a:p>
        <a:p>
          <a:r>
            <a:rPr lang="pt-BR" sz="1100"/>
            <a:t>As quantidades indicadas dos dois fertilizantes devem ser dissolvidas em uma quantidade de água suficiente para que não haja precipitados no tanque de injeção.</a:t>
          </a:r>
        </a:p>
        <a:p>
          <a:r>
            <a:rPr lang="pt-BR" sz="1100"/>
            <a:t>A aplicação da solução deve iniciar após 25% do tempo de irrigação e encerrar 25 % antes do término da irrigação para lavagem da tubulação.</a:t>
          </a:r>
        </a:p>
        <a:p>
          <a:r>
            <a:rPr lang="pt-BR" sz="1100"/>
            <a:t>O tempo de fertirrigação não deve ser inferior a 30 minutos.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320955</xdr:colOff>
      <xdr:row>5</xdr:row>
      <xdr:rowOff>127500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0"/>
          <a:ext cx="5073931" cy="1080000"/>
        </a:xfrm>
        <a:prstGeom prst="rect">
          <a:avLst/>
        </a:prstGeom>
      </xdr:spPr>
    </xdr:pic>
    <xdr:clientData/>
  </xdr:twoCellAnchor>
  <xdr:twoCellAnchor>
    <xdr:from>
      <xdr:col>13</xdr:col>
      <xdr:colOff>2589409</xdr:colOff>
      <xdr:row>1</xdr:row>
      <xdr:rowOff>0</xdr:rowOff>
    </xdr:from>
    <xdr:to>
      <xdr:col>14</xdr:col>
      <xdr:colOff>0</xdr:colOff>
      <xdr:row>2</xdr:row>
      <xdr:rowOff>79500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4600-000003000000}"/>
            </a:ext>
          </a:extLst>
        </xdr:cNvPr>
        <xdr:cNvSpPr/>
      </xdr:nvSpPr>
      <xdr:spPr bwMode="auto">
        <a:xfrm>
          <a:off x="9838992" y="190500"/>
          <a:ext cx="723175" cy="270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9191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Parcelar a quantidade de calcário em doses de, no máximo, 3 t/ha por aplicação, espaçadas de, no mínimo,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Aplicar as doses de N e K durante o período chuvoso (floração, chumbinho e granação)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No caso do resultado da análise não conter o P-rem, digitar o valor 20.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Aledir Cassiano da Rocha, Aldemar Polonini Morelli, André Guarçoni, Aymbiré Francisco Almeida da Fonseca, Luiz Carlos Prezotti, Maria Amélia Gava Ferrão, Maurício José Fornazier.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118</xdr:row>
      <xdr:rowOff>57149</xdr:rowOff>
    </xdr:from>
    <xdr:to>
      <xdr:col>11</xdr:col>
      <xdr:colOff>310053</xdr:colOff>
      <xdr:row>135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75" y="25250774"/>
          <a:ext cx="4205778" cy="3181351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108</xdr:row>
      <xdr:rowOff>0</xdr:rowOff>
    </xdr:from>
    <xdr:to>
      <xdr:col>14</xdr:col>
      <xdr:colOff>0</xdr:colOff>
      <xdr:row>117</xdr:row>
      <xdr:rowOff>0</xdr:rowOff>
    </xdr:to>
    <xdr:sp macro="" textlink="">
      <xdr:nvSpPr>
        <xdr:cNvPr id="12" name="CaixaDeTexto 11"/>
        <xdr:cNvSpPr txBox="1"/>
      </xdr:nvSpPr>
      <xdr:spPr>
        <a:xfrm>
          <a:off x="1219200" y="23288625"/>
          <a:ext cx="73152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necessário que se faça o projeto de irrigação e mantenha o manejo adequado das lâminas e turno de rega.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amostragem de solo deve ser realizada no bulbo molhado, a cada 6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condutividade elétrica do bulbo molhado não deve ultrapassar 2,5 dS/m.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importante também a análise de solo da área não fertirrigada a cada 12 meses para as correções da acidez do solo.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análise foliar deve ser feita a cada 6 meses, no mesmo período da análise do solo, para monitoramento dos teores.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Atenção para a uniformidade de vazão dos emissores, principalmente em áreas declivosas.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Realizar a análise da água de irrigação a cada 2 anos, observando as características citadas na figura abaixo.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Observar a compatibilidade dos fertilizantes, conforme tabela abaixo.</a:t>
          </a:r>
        </a:p>
      </xdr:txBody>
    </xdr:sp>
    <xdr:clientData/>
  </xdr:twoCellAnchor>
  <xdr:twoCellAnchor>
    <xdr:from>
      <xdr:col>13</xdr:col>
      <xdr:colOff>0</xdr:colOff>
      <xdr:row>13</xdr:row>
      <xdr:rowOff>28575</xdr:rowOff>
    </xdr:from>
    <xdr:to>
      <xdr:col>16</xdr:col>
      <xdr:colOff>0</xdr:colOff>
      <xdr:row>27</xdr:row>
      <xdr:rowOff>9525</xdr:rowOff>
    </xdr:to>
    <xdr:sp macro="" textlink="">
      <xdr:nvSpPr>
        <xdr:cNvPr id="3" name="Retângulo 2"/>
        <xdr:cNvSpPr/>
      </xdr:nvSpPr>
      <xdr:spPr bwMode="auto">
        <a:xfrm>
          <a:off x="7924800" y="3124200"/>
          <a:ext cx="1828800" cy="2647950"/>
        </a:xfrm>
        <a:prstGeom prst="rect">
          <a:avLst/>
        </a:prstGeom>
        <a:noFill/>
        <a:ln w="9525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pt-BR" sz="1000" b="1" u="sng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TEORES FOLIARES DE</a:t>
          </a:r>
          <a:r>
            <a:rPr lang="pt-BR" sz="1000" b="1" u="sng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000" b="1" u="sng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NUTRIENTES CONSIDERADOS ADEQUADOS PARA O CAFÉ CONILON</a:t>
          </a:r>
        </a:p>
      </xdr:txBody>
    </xdr:sp>
    <xdr:clientData/>
  </xdr:twoCellAnchor>
  <xdr:twoCellAnchor>
    <xdr:from>
      <xdr:col>13</xdr:col>
      <xdr:colOff>428625</xdr:colOff>
      <xdr:row>28</xdr:row>
      <xdr:rowOff>133350</xdr:rowOff>
    </xdr:from>
    <xdr:to>
      <xdr:col>14</xdr:col>
      <xdr:colOff>352425</xdr:colOff>
      <xdr:row>30</xdr:row>
      <xdr:rowOff>161925</xdr:rowOff>
    </xdr:to>
    <xdr:sp macro="" textlink="">
      <xdr:nvSpPr>
        <xdr:cNvPr id="13" name="Seta dobrada para cima 12"/>
        <xdr:cNvSpPr/>
      </xdr:nvSpPr>
      <xdr:spPr bwMode="auto">
        <a:xfrm>
          <a:off x="8353425" y="6086475"/>
          <a:ext cx="533400" cy="409575"/>
        </a:xfrm>
        <a:prstGeom prst="bentUpArrow">
          <a:avLst/>
        </a:prstGeom>
        <a:solidFill>
          <a:srgbClr val="FFFFFF"/>
        </a:solidFill>
        <a:ln w="1905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500872</xdr:colOff>
      <xdr:row>5</xdr:row>
      <xdr:rowOff>127500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833" y="0"/>
          <a:ext cx="5072872" cy="1080000"/>
        </a:xfrm>
        <a:prstGeom prst="rect">
          <a:avLst/>
        </a:prstGeom>
      </xdr:spPr>
    </xdr:pic>
    <xdr:clientData/>
  </xdr:twoCellAnchor>
  <xdr:twoCellAnchor>
    <xdr:from>
      <xdr:col>11</xdr:col>
      <xdr:colOff>433583</xdr:colOff>
      <xdr:row>1</xdr:row>
      <xdr:rowOff>0</xdr:rowOff>
    </xdr:from>
    <xdr:to>
      <xdr:col>12</xdr:col>
      <xdr:colOff>542925</xdr:colOff>
      <xdr:row>2</xdr:row>
      <xdr:rowOff>79500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4600-000003000000}"/>
            </a:ext>
          </a:extLst>
        </xdr:cNvPr>
        <xdr:cNvSpPr/>
      </xdr:nvSpPr>
      <xdr:spPr bwMode="auto">
        <a:xfrm>
          <a:off x="7186808" y="190500"/>
          <a:ext cx="718942" cy="270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0</xdr:col>
      <xdr:colOff>342900</xdr:colOff>
      <xdr:row>15</xdr:row>
      <xdr:rowOff>0</xdr:rowOff>
    </xdr:from>
    <xdr:to>
      <xdr:col>13</xdr:col>
      <xdr:colOff>0</xdr:colOff>
      <xdr:row>57</xdr:row>
      <xdr:rowOff>0</xdr:rowOff>
    </xdr:to>
    <xdr:sp macro="" textlink="">
      <xdr:nvSpPr>
        <xdr:cNvPr id="4" name="CaixaDeTexto 3"/>
        <xdr:cNvSpPr txBox="1"/>
      </xdr:nvSpPr>
      <xdr:spPr>
        <a:xfrm>
          <a:off x="342900" y="2857500"/>
          <a:ext cx="7629525" cy="800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300" b="1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Principais Pragas:</a:t>
          </a: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Broca-do-café: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Influenciada por fatores climáticos. Maior incidência em plantios adensados. Deve ser monitorado por amostragem. O controle químico deve ser realizado quando o nível populacional for acima de 5%. A melhor forma de controle da praga é a redução de sua população inicial através da colheita bem feita e do repasse dos frutos remanescentes no chão ou nas plantas.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Bicho-Mineiro: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Maior ocorrência em períodos mais secos principalmente em veranicos de início de ano. Chuvas intensa diminuem sua incidência e dano. O controle químico deve ser realizado quando houver mais de 30% de folhas com presença de "minas vivas".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Ácaro-Vermelho: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Ocorre em períodos secos e quentes como veranicos de início de ano. Ocorre em reboleiras, principalmente próximo às estradas empoeiradas. É disseminado pelo vento. Causa queda das folhas, principalmente em lavouras em formação. Lavouras adultas são pouco afetadas.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Ácaro-Branco: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Causa o enrolamento e mau desenvolvimento das folhas. Pode ocorrer em viveiro com elevada umidade. Não causa problemas em labouras adultas.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Cochonilha da raiz: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Sério problema na formação de lavouras em áreas infestadas. Mudas são suscetíveis e plantas adultas são tolerantes à infestação dessa cochonilha. A intensa presença de formigas é um indicativo da presença da cochonilha.</a:t>
          </a:r>
        </a:p>
        <a:p>
          <a:endParaRPr lang="pt-B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Mosca-das-Raízes: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Sério problema na formação de lavouras em áreas infestadas. As larvas se alimentam das raízes do cafeeiro e de raízes em decomposição. Recomenda-se não realizar a imediata renovação das lavouras nas áreas infestadas.</a:t>
          </a:r>
        </a:p>
        <a:p>
          <a:endParaRPr lang="pt-B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Cigarra do cafeeiro: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Causa grandes prejuízos em lavouras adultas. Não sobrevivem em áreas nas quais se arrancou o café. Pode-se proceder ao replantio em áreas infestadas sem a necessidade de utilização de produtos químicos. A infestação deve ser monitorada.</a:t>
          </a:r>
        </a:p>
        <a:p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300" b="1">
              <a:solidFill>
                <a:srgbClr val="0000F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Principais Doenças:</a:t>
          </a: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Ferrugem: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Maior incidência em lavouras adensadas. O monitoramento deve ser iniciado em dezembro. Quando possível, optar por cultivares resistentes como IAPAR 59, Oeiras, Icatú Precoce, Obatã, Tupi e Paraíso. Existem diversos fungicidas recomendados para o controle devendo estes estarem cadastrados no IDAF.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Cercosporiose: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Maior ocorrência em viveiros e lavouras mal nutridas. Adubações equilibradas reduzem a sua ocorrência.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Ascoquita/Phoma: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Causam manchas nas folhas e seca de ponteiros (as vezes confundida com seca de ponteiros causada por excesso de carga e falta de nutrição).Ocorre em áreas de altitude com presença de ventos fortes associadas com alta umidade. Quebra-ventos reduzem sua incidência. Esta doença também pode incidir nas mudas em viveiros quando há excesso de água e de adubação nitrogenada.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Roseliniose: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Ocorre em áreas com muita matéria orgânica não decomposta e inicia-se em reboleiras.</a:t>
          </a:r>
        </a:p>
        <a:p>
          <a:endParaRPr lang="pt-BR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Nematóide:</a:t>
          </a:r>
          <a:r>
            <a:rPr lang="pt-B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espécie Meloidogyne exigua está presente em todas as áreas do ES, com maior ou menor intensidade. Outras espécies como M. incognita, M. paranaensis e M. coffeicola são extremamente danosos às plantas, mas ainda não foram encontradas em áreas de café arábica no ES. A cultiva IAPAR 59 apresenta resisência ao Meloidogyne exigua.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6676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Para cana soca aplicar 80 kg de N e metade da dose de P2O5 e de K2O.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A adubação de cobertura deve ser feita 30 a 60 dias após plantio.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solos com baixos teores de micronutrientes, aplicar 80 kg/ha de FTE no plantio.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Cana planta: 120.000 kg/ha</a:t>
          </a:r>
        </a:p>
        <a:p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Cana soca:   80.000 kg/ha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5762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esperada: 10.000 a 15.000 kg/ha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715125"/>
          <a:ext cx="73152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Produtividade esperada = 25.000 kg/ha.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a dose de nitrogênio conforme o vigor das plantas.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524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O calcário deve ser incorporado a 20 cm de profundidade antes de se formarem os canteiros.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Produtividade esperada = 35.000 a 40.000 kg/ha.</a:t>
          </a: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41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7286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Em covas que ultrapassam 20 cm de profundidade, recomenda-se aplicar, adicionalmente, 150 g de calcário dolomítico. A deficiência de cálcio causa formação de frutos "sem pescoço".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Se utilizar esterco de cama de aves, reduzir a dose pela metade. Se utilizar esterco de gaiola, reduzir a dose para 1/3. 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60.000 a 65.000 kg/ha.</a:t>
          </a: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10" name="CaixaDeTexto 9"/>
        <xdr:cNvSpPr txBox="1"/>
      </xdr:nvSpPr>
      <xdr:spPr>
        <a:xfrm>
          <a:off x="1219200" y="6143625"/>
          <a:ext cx="7315200" cy="209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Adubações: 1º :Set-Out.; 2º: Dez-Jan.; 3º: Mar.-Abr.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Entre a segunda e terceria adubação fazer análise foliar: se o teor de N for superior a 3,0 dag/kg, excluir N da terceira adubação.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10% de P2O5 para cada 5 toneladas de esterco de gado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Deficiência de magnésio: pulverização foliar com sulfato de magnésio 4 g/L.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Cesar Pereira Teixeira, Flavio Lima Alves, José Mauro de Souza Balbino, Luiz Carlos Prezotti.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11" name="CaixaDeTexto 10"/>
        <xdr:cNvSpPr txBox="1"/>
      </xdr:nvSpPr>
      <xdr:spPr>
        <a:xfrm>
          <a:off x="1219200" y="7858125"/>
          <a:ext cx="7315200" cy="209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Adubações: 1º :Set-Out.; 2º: Dez-Jan.; 3º: Mar.-Abr.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Entre a segunda e terceria adubação fazer análise foliar: se o teor de N for superior a 3,0 dag/kg, excluir N da terceira adubação.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10% de P2O5 para cada 5 toneladas de esterco de gado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Deficiência de magnésio: pulverização foliar com sulfato de magnésio 4 g/L.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Cesar Pereira Teixeira, Flavio Lima Alves, José Mauro de Souza Balbino, Luiz Carlos Prezotti.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9" name="CaixaDeTexto 8"/>
        <xdr:cNvSpPr txBox="1"/>
      </xdr:nvSpPr>
      <xdr:spPr>
        <a:xfrm>
          <a:off x="8534400" y="7286625"/>
          <a:ext cx="7315200" cy="209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Adubações: 1º :Set-Out.; 2º: Dez-Jan.; 3º: Mar.-Abr.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Entre a segunda e terceria adubação fazer análise foliar: se o teor de N for superior a 3,0 dag/kg, excluir N da terceira adubação.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Reduzir 10% de P2O5 para cada 5 toneladas de esterco de gado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Deficiência de magnésio: pulverização foliar com sulfato de magnésio 4 g/L.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Em lavouras novas ou com espaçamento largo, deve-se aplicar o calcário em faixas, nas linhas das plantas. Não aplicar calcário nas ruas (quando largas) para evitar a mineralização rápida da matéria orgânica.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Equipe: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Cesar Pereira Teixeira, Flavio Lima Alves, José Mauro de Souza Balbino, Luiz Carlos Prezotti.</a:t>
          </a: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11" name="CaixaDeText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12" name="CaixaDe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13" name="CaixaDeText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14" name="CaixaDeText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15" name="CaixaDeText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905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para evitar a mineralização rápida da matéria orgânica.</a:t>
          </a: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905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para evitar a mineralização rápida da matéria orgânica.</a:t>
          </a: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5381625"/>
          <a:ext cx="73152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Na impossibilidade de incorporação do calcário, aplicar no máximo 3 t/ha por vez em intervalos de no máximo 10 meses.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evitar desbalanços.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Em lavouras novas ou com espaçamento largo, deve-se aplicar o calcário em faixas, nas linhas das plantas. Não aplicar calcário nas ruas para evitar a mineralização rápida da matéria orgânica.</a:t>
          </a: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334125"/>
          <a:ext cx="73152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Reduzir 10% de P2O5 para cada 5 toneladas de esterco de gado ou 2 toneladas de esterco de galinha.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35</xdr:row>
      <xdr:rowOff>0</xdr:rowOff>
    </xdr:to>
    <xdr:sp macro="" textlink="">
      <xdr:nvSpPr>
        <xdr:cNvPr id="9" name="CaixaDeTexto 8"/>
        <xdr:cNvSpPr txBox="1"/>
      </xdr:nvSpPr>
      <xdr:spPr>
        <a:xfrm>
          <a:off x="10972800" y="7096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Se utilizar esterco de cama de aves, reduzir a dose pela metade. Se utilizar esterco de gaiola, reduzir a dose para 1/3. Se utilizar composto, aplicar a mesma dose do esterco bovino.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Reduzir a dose de nitrogênio conforme o vigor das plantas.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25.000 kg/ha.</a:t>
          </a: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14</xdr:col>
      <xdr:colOff>0</xdr:colOff>
      <xdr:row>36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715125"/>
          <a:ext cx="73152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Parcelar a adubação de segundo ano em duas vezes: 4 meses e 18 meses após o plantio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Fazer monitoramento com análise foliar para adubação com micronutrientes.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esperada: 30 a 50 m3/ha/ano de madeira.</a:t>
          </a: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313754</xdr:colOff>
      <xdr:row>0</xdr:row>
      <xdr:rowOff>0</xdr:rowOff>
    </xdr:from>
    <xdr:to>
      <xdr:col>11</xdr:col>
      <xdr:colOff>295275</xdr:colOff>
      <xdr:row>2</xdr:row>
      <xdr:rowOff>271350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54" y="0"/>
          <a:ext cx="4248721" cy="9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14750</xdr:rowOff>
    </xdr:from>
    <xdr:to>
      <xdr:col>2</xdr:col>
      <xdr:colOff>397625</xdr:colOff>
      <xdr:row>3</xdr:row>
      <xdr:rowOff>302750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/>
      </xdr:nvSpPr>
      <xdr:spPr>
        <a:xfrm>
          <a:off x="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Adubação e Calagem</a:t>
          </a:r>
        </a:p>
      </xdr:txBody>
    </xdr:sp>
    <xdr:clientData/>
  </xdr:twoCellAnchor>
  <xdr:twoCellAnchor>
    <xdr:from>
      <xdr:col>2</xdr:col>
      <xdr:colOff>409425</xdr:colOff>
      <xdr:row>3</xdr:row>
      <xdr:rowOff>14750</xdr:rowOff>
    </xdr:from>
    <xdr:to>
      <xdr:col>5</xdr:col>
      <xdr:colOff>195862</xdr:colOff>
      <xdr:row>3</xdr:row>
      <xdr:rowOff>302750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/>
      </xdr:nvSpPr>
      <xdr:spPr>
        <a:xfrm>
          <a:off x="16286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Micronutrientes</a:t>
          </a:r>
        </a:p>
      </xdr:txBody>
    </xdr:sp>
    <xdr:clientData/>
  </xdr:twoCellAnchor>
  <xdr:twoCellAnchor>
    <xdr:from>
      <xdr:col>10</xdr:col>
      <xdr:colOff>415325</xdr:colOff>
      <xdr:row>3</xdr:row>
      <xdr:rowOff>14750</xdr:rowOff>
    </xdr:from>
    <xdr:to>
      <xdr:col>13</xdr:col>
      <xdr:colOff>201762</xdr:colOff>
      <xdr:row>3</xdr:row>
      <xdr:rowOff>302750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/>
      </xdr:nvSpPr>
      <xdr:spPr>
        <a:xfrm>
          <a:off x="6511325" y="957725"/>
          <a:ext cx="1615237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Gesso</a:t>
          </a:r>
        </a:p>
      </xdr:txBody>
    </xdr:sp>
    <xdr:clientData/>
  </xdr:twoCellAnchor>
  <xdr:twoCellAnchor>
    <xdr:from>
      <xdr:col>5</xdr:col>
      <xdr:colOff>207662</xdr:colOff>
      <xdr:row>3</xdr:row>
      <xdr:rowOff>14750</xdr:rowOff>
    </xdr:from>
    <xdr:to>
      <xdr:col>7</xdr:col>
      <xdr:colOff>605287</xdr:colOff>
      <xdr:row>3</xdr:row>
      <xdr:rowOff>302750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/>
      </xdr:nvSpPr>
      <xdr:spPr>
        <a:xfrm>
          <a:off x="3255662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Fertirrigação</a:t>
          </a:r>
        </a:p>
      </xdr:txBody>
    </xdr:sp>
    <xdr:clientData/>
  </xdr:twoCellAnchor>
  <xdr:twoCellAnchor>
    <xdr:from>
      <xdr:col>13</xdr:col>
      <xdr:colOff>213562</xdr:colOff>
      <xdr:row>3</xdr:row>
      <xdr:rowOff>14750</xdr:rowOff>
    </xdr:from>
    <xdr:to>
      <xdr:col>16</xdr:col>
      <xdr:colOff>0</xdr:colOff>
      <xdr:row>3</xdr:row>
      <xdr:rowOff>302750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/>
      </xdr:nvSpPr>
      <xdr:spPr>
        <a:xfrm>
          <a:off x="8138362" y="957725"/>
          <a:ext cx="1615238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Utilidades</a:t>
          </a:r>
        </a:p>
      </xdr:txBody>
    </xdr:sp>
    <xdr:clientData/>
  </xdr:twoCellAnchor>
  <xdr:twoCellAnchor>
    <xdr:from>
      <xdr:col>8</xdr:col>
      <xdr:colOff>5900</xdr:colOff>
      <xdr:row>3</xdr:row>
      <xdr:rowOff>14750</xdr:rowOff>
    </xdr:from>
    <xdr:to>
      <xdr:col>10</xdr:col>
      <xdr:colOff>403525</xdr:colOff>
      <xdr:row>3</xdr:row>
      <xdr:rowOff>302750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/>
      </xdr:nvSpPr>
      <xdr:spPr>
        <a:xfrm>
          <a:off x="4882700" y="957725"/>
          <a:ext cx="1616825" cy="288000"/>
        </a:xfrm>
        <a:prstGeom prst="rect">
          <a:avLst/>
        </a:prstGeom>
        <a:solidFill>
          <a:srgbClr val="CC990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1">
              <a:solidFill>
                <a:srgbClr val="663300"/>
              </a:solidFill>
            </a:rPr>
            <a:t>Cultivo</a:t>
          </a:r>
          <a:r>
            <a:rPr lang="pt-BR" sz="1200" b="1" baseline="0">
              <a:solidFill>
                <a:srgbClr val="663300"/>
              </a:solidFill>
            </a:rPr>
            <a:t> Orgânico</a:t>
          </a:r>
          <a:endParaRPr lang="pt-BR" sz="1200" b="1">
            <a:solidFill>
              <a:srgbClr val="663300"/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14</xdr:col>
      <xdr:colOff>0</xdr:colOff>
      <xdr:row>37</xdr:row>
      <xdr:rowOff>0</xdr:rowOff>
    </xdr:to>
    <xdr:sp macro="" textlink="">
      <xdr:nvSpPr>
        <xdr:cNvPr id="9" name="CaixaDeTexto 8"/>
        <xdr:cNvSpPr txBox="1"/>
      </xdr:nvSpPr>
      <xdr:spPr>
        <a:xfrm>
          <a:off x="1219200" y="6715125"/>
          <a:ext cx="73152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Observações: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A adubação de cobertura deve ser feita 25 a 30 dias após a emergência, quando as plantas apresentarem de seis a oito folhas bem desenvolvidas.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Em solos com baixo teor de matéria orgânica, aplicar via foliar 60 g/ha de Mo (154 g de molibdato de sódio ou 111 g/ha de molibdato de amônio). Considerando um gasto médio de 400 l/ha de calda (pulverizador costal manual), a dose aproximada é de 8 g/20L de molibdato de sódio ou 6 g/20L de molibdato de amônio.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Produtividade esperada = 1.200 a 2.000 kg/ha.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3"/>
  <sheetViews>
    <sheetView workbookViewId="0">
      <selection activeCell="D30" sqref="D30"/>
    </sheetView>
  </sheetViews>
  <sheetFormatPr defaultRowHeight="12.75" x14ac:dyDescent="0.2"/>
  <cols>
    <col min="1" max="1" width="18.7109375" bestFit="1" customWidth="1"/>
  </cols>
  <sheetData>
    <row r="1" spans="1:1" x14ac:dyDescent="0.2">
      <c r="A1" s="687" t="s">
        <v>2417</v>
      </c>
    </row>
    <row r="2" spans="1:1" x14ac:dyDescent="0.2">
      <c r="A2" s="16" t="s">
        <v>2287</v>
      </c>
    </row>
    <row r="3" spans="1:1" x14ac:dyDescent="0.2">
      <c r="A3" s="16" t="s">
        <v>2288</v>
      </c>
    </row>
    <row r="4" spans="1:1" x14ac:dyDescent="0.2">
      <c r="A4" s="16" t="s">
        <v>2289</v>
      </c>
    </row>
    <row r="5" spans="1:1" x14ac:dyDescent="0.2">
      <c r="A5" s="16" t="s">
        <v>298</v>
      </c>
    </row>
    <row r="6" spans="1:1" x14ac:dyDescent="0.2">
      <c r="A6" s="16" t="s">
        <v>2290</v>
      </c>
    </row>
    <row r="7" spans="1:1" x14ac:dyDescent="0.2">
      <c r="A7" s="16" t="s">
        <v>2291</v>
      </c>
    </row>
    <row r="8" spans="1:1" x14ac:dyDescent="0.2">
      <c r="A8" s="16" t="s">
        <v>2292</v>
      </c>
    </row>
    <row r="9" spans="1:1" x14ac:dyDescent="0.2">
      <c r="A9" s="16" t="s">
        <v>2293</v>
      </c>
    </row>
    <row r="10" spans="1:1" x14ac:dyDescent="0.2">
      <c r="A10" s="16" t="s">
        <v>2294</v>
      </c>
    </row>
    <row r="11" spans="1:1" x14ac:dyDescent="0.2">
      <c r="A11" s="16" t="s">
        <v>2295</v>
      </c>
    </row>
    <row r="12" spans="1:1" x14ac:dyDescent="0.2">
      <c r="A12" s="16" t="s">
        <v>2296</v>
      </c>
    </row>
    <row r="13" spans="1:1" x14ac:dyDescent="0.2">
      <c r="A13" s="16" t="s">
        <v>2297</v>
      </c>
    </row>
    <row r="14" spans="1:1" x14ac:dyDescent="0.2">
      <c r="A14" s="16" t="s">
        <v>2298</v>
      </c>
    </row>
    <row r="15" spans="1:1" x14ac:dyDescent="0.2">
      <c r="A15" s="16" t="s">
        <v>2299</v>
      </c>
    </row>
    <row r="16" spans="1:1" x14ac:dyDescent="0.2">
      <c r="A16" s="16" t="s">
        <v>2300</v>
      </c>
    </row>
    <row r="17" spans="1:1" x14ac:dyDescent="0.2">
      <c r="A17" s="16" t="s">
        <v>2301</v>
      </c>
    </row>
    <row r="18" spans="1:1" x14ac:dyDescent="0.2">
      <c r="A18" s="16" t="s">
        <v>2302</v>
      </c>
    </row>
    <row r="19" spans="1:1" x14ac:dyDescent="0.2">
      <c r="A19" s="16" t="s">
        <v>2303</v>
      </c>
    </row>
    <row r="20" spans="1:1" x14ac:dyDescent="0.2">
      <c r="A20" s="16" t="s">
        <v>2304</v>
      </c>
    </row>
    <row r="21" spans="1:1" x14ac:dyDescent="0.2">
      <c r="A21" s="16" t="s">
        <v>2305</v>
      </c>
    </row>
    <row r="22" spans="1:1" x14ac:dyDescent="0.2">
      <c r="A22" s="16" t="s">
        <v>1847</v>
      </c>
    </row>
    <row r="23" spans="1:1" x14ac:dyDescent="0.2">
      <c r="A23" s="16" t="s">
        <v>2306</v>
      </c>
    </row>
    <row r="24" spans="1:1" x14ac:dyDescent="0.2">
      <c r="A24" s="16" t="s">
        <v>2307</v>
      </c>
    </row>
    <row r="25" spans="1:1" x14ac:dyDescent="0.2">
      <c r="A25" s="16" t="s">
        <v>2308</v>
      </c>
    </row>
    <row r="26" spans="1:1" x14ac:dyDescent="0.2">
      <c r="A26" s="16" t="s">
        <v>2309</v>
      </c>
    </row>
    <row r="27" spans="1:1" x14ac:dyDescent="0.2">
      <c r="A27" s="16" t="s">
        <v>2310</v>
      </c>
    </row>
    <row r="28" spans="1:1" x14ac:dyDescent="0.2">
      <c r="A28" s="16" t="s">
        <v>2311</v>
      </c>
    </row>
    <row r="29" spans="1:1" x14ac:dyDescent="0.2">
      <c r="A29" s="16" t="s">
        <v>2312</v>
      </c>
    </row>
    <row r="30" spans="1:1" x14ac:dyDescent="0.2">
      <c r="A30" s="16" t="s">
        <v>2313</v>
      </c>
    </row>
    <row r="31" spans="1:1" x14ac:dyDescent="0.2">
      <c r="A31" s="16" t="s">
        <v>2314</v>
      </c>
    </row>
    <row r="32" spans="1:1" x14ac:dyDescent="0.2">
      <c r="A32" s="16" t="s">
        <v>375</v>
      </c>
    </row>
    <row r="33" spans="1:1" x14ac:dyDescent="0.2">
      <c r="A33" s="16" t="s">
        <v>2315</v>
      </c>
    </row>
    <row r="34" spans="1:1" x14ac:dyDescent="0.2">
      <c r="A34" s="16" t="s">
        <v>2316</v>
      </c>
    </row>
    <row r="35" spans="1:1" x14ac:dyDescent="0.2">
      <c r="A35" s="16" t="s">
        <v>2317</v>
      </c>
    </row>
    <row r="36" spans="1:1" x14ac:dyDescent="0.2">
      <c r="A36" s="16" t="s">
        <v>376</v>
      </c>
    </row>
    <row r="37" spans="1:1" x14ac:dyDescent="0.2">
      <c r="A37" s="16" t="s">
        <v>2318</v>
      </c>
    </row>
    <row r="38" spans="1:1" x14ac:dyDescent="0.2">
      <c r="A38" s="16" t="s">
        <v>2319</v>
      </c>
    </row>
    <row r="39" spans="1:1" x14ac:dyDescent="0.2">
      <c r="A39" s="16" t="s">
        <v>393</v>
      </c>
    </row>
    <row r="40" spans="1:1" x14ac:dyDescent="0.2">
      <c r="A40" s="16" t="s">
        <v>2320</v>
      </c>
    </row>
    <row r="41" spans="1:1" x14ac:dyDescent="0.2">
      <c r="A41" s="16" t="s">
        <v>2321</v>
      </c>
    </row>
    <row r="42" spans="1:1" x14ac:dyDescent="0.2">
      <c r="A42" s="16" t="s">
        <v>377</v>
      </c>
    </row>
    <row r="43" spans="1:1" x14ac:dyDescent="0.2">
      <c r="A43" s="16" t="s">
        <v>2322</v>
      </c>
    </row>
    <row r="44" spans="1:1" x14ac:dyDescent="0.2">
      <c r="A44" s="16" t="s">
        <v>1252</v>
      </c>
    </row>
    <row r="45" spans="1:1" x14ac:dyDescent="0.2">
      <c r="A45" s="16" t="s">
        <v>1253</v>
      </c>
    </row>
    <row r="46" spans="1:1" x14ac:dyDescent="0.2">
      <c r="A46" s="16" t="s">
        <v>2323</v>
      </c>
    </row>
    <row r="47" spans="1:1" x14ac:dyDescent="0.2">
      <c r="A47" s="16" t="s">
        <v>2324</v>
      </c>
    </row>
    <row r="48" spans="1:1" x14ac:dyDescent="0.2">
      <c r="A48" s="16" t="s">
        <v>2325</v>
      </c>
    </row>
    <row r="49" spans="1:1" x14ac:dyDescent="0.2">
      <c r="A49" s="16" t="s">
        <v>2326</v>
      </c>
    </row>
    <row r="50" spans="1:1" x14ac:dyDescent="0.2">
      <c r="A50" s="16" t="s">
        <v>2327</v>
      </c>
    </row>
    <row r="51" spans="1:1" x14ac:dyDescent="0.2">
      <c r="A51" s="16" t="s">
        <v>507</v>
      </c>
    </row>
    <row r="52" spans="1:1" x14ac:dyDescent="0.2">
      <c r="A52" s="16" t="s">
        <v>2328</v>
      </c>
    </row>
    <row r="53" spans="1:1" x14ac:dyDescent="0.2">
      <c r="A53" s="16" t="s">
        <v>2329</v>
      </c>
    </row>
    <row r="54" spans="1:1" x14ac:dyDescent="0.2">
      <c r="A54" s="16" t="s">
        <v>2330</v>
      </c>
    </row>
    <row r="55" spans="1:1" x14ac:dyDescent="0.2">
      <c r="A55" s="16" t="s">
        <v>508</v>
      </c>
    </row>
    <row r="56" spans="1:1" x14ac:dyDescent="0.2">
      <c r="A56" s="16" t="s">
        <v>509</v>
      </c>
    </row>
    <row r="57" spans="1:1" x14ac:dyDescent="0.2">
      <c r="A57" s="16" t="s">
        <v>510</v>
      </c>
    </row>
    <row r="58" spans="1:1" x14ac:dyDescent="0.2">
      <c r="A58" s="16" t="s">
        <v>511</v>
      </c>
    </row>
    <row r="59" spans="1:1" x14ac:dyDescent="0.2">
      <c r="A59" s="16" t="s">
        <v>2331</v>
      </c>
    </row>
    <row r="60" spans="1:1" x14ac:dyDescent="0.2">
      <c r="A60" s="16" t="s">
        <v>2332</v>
      </c>
    </row>
    <row r="61" spans="1:1" x14ac:dyDescent="0.2">
      <c r="A61" s="16" t="s">
        <v>199</v>
      </c>
    </row>
    <row r="62" spans="1:1" x14ac:dyDescent="0.2">
      <c r="A62" s="16" t="s">
        <v>2333</v>
      </c>
    </row>
    <row r="63" spans="1:1" x14ac:dyDescent="0.2">
      <c r="A63" s="16" t="s">
        <v>2334</v>
      </c>
    </row>
    <row r="64" spans="1:1" x14ac:dyDescent="0.2">
      <c r="A64" s="16" t="s">
        <v>2335</v>
      </c>
    </row>
    <row r="65" spans="1:1" x14ac:dyDescent="0.2">
      <c r="A65" s="16" t="s">
        <v>2336</v>
      </c>
    </row>
    <row r="66" spans="1:1" x14ac:dyDescent="0.2">
      <c r="A66" s="16" t="s">
        <v>2337</v>
      </c>
    </row>
    <row r="67" spans="1:1" x14ac:dyDescent="0.2">
      <c r="A67" s="16" t="s">
        <v>2338</v>
      </c>
    </row>
    <row r="68" spans="1:1" x14ac:dyDescent="0.2">
      <c r="A68" s="16" t="s">
        <v>2339</v>
      </c>
    </row>
    <row r="69" spans="1:1" x14ac:dyDescent="0.2">
      <c r="A69" s="16" t="s">
        <v>2340</v>
      </c>
    </row>
    <row r="70" spans="1:1" x14ac:dyDescent="0.2">
      <c r="A70" s="16" t="s">
        <v>2341</v>
      </c>
    </row>
    <row r="71" spans="1:1" x14ac:dyDescent="0.2">
      <c r="A71" s="16" t="s">
        <v>2342</v>
      </c>
    </row>
    <row r="72" spans="1:1" x14ac:dyDescent="0.2">
      <c r="A72" s="16" t="s">
        <v>2343</v>
      </c>
    </row>
    <row r="73" spans="1:1" x14ac:dyDescent="0.2">
      <c r="A73" s="16" t="s">
        <v>2344</v>
      </c>
    </row>
    <row r="74" spans="1:1" x14ac:dyDescent="0.2">
      <c r="A74" s="16" t="s">
        <v>2345</v>
      </c>
    </row>
    <row r="75" spans="1:1" x14ac:dyDescent="0.2">
      <c r="A75" s="16" t="s">
        <v>2346</v>
      </c>
    </row>
    <row r="76" spans="1:1" x14ac:dyDescent="0.2">
      <c r="A76" s="16" t="s">
        <v>2347</v>
      </c>
    </row>
    <row r="77" spans="1:1" x14ac:dyDescent="0.2">
      <c r="A77" s="16" t="s">
        <v>515</v>
      </c>
    </row>
    <row r="78" spans="1:1" x14ac:dyDescent="0.2">
      <c r="A78" s="16" t="s">
        <v>2348</v>
      </c>
    </row>
    <row r="79" spans="1:1" x14ac:dyDescent="0.2">
      <c r="A79" s="16" t="s">
        <v>2349</v>
      </c>
    </row>
    <row r="80" spans="1:1" x14ac:dyDescent="0.2">
      <c r="A80" s="16" t="s">
        <v>2350</v>
      </c>
    </row>
    <row r="81" spans="1:1" x14ac:dyDescent="0.2">
      <c r="A81" s="16" t="s">
        <v>2351</v>
      </c>
    </row>
    <row r="82" spans="1:1" x14ac:dyDescent="0.2">
      <c r="A82" s="16" t="s">
        <v>942</v>
      </c>
    </row>
    <row r="83" spans="1:1" x14ac:dyDescent="0.2">
      <c r="A83" s="16" t="s">
        <v>1309</v>
      </c>
    </row>
    <row r="84" spans="1:1" x14ac:dyDescent="0.2">
      <c r="A84" s="16" t="s">
        <v>2352</v>
      </c>
    </row>
    <row r="85" spans="1:1" x14ac:dyDescent="0.2">
      <c r="A85" s="16" t="s">
        <v>516</v>
      </c>
    </row>
    <row r="86" spans="1:1" x14ac:dyDescent="0.2">
      <c r="A86" s="16" t="s">
        <v>517</v>
      </c>
    </row>
    <row r="87" spans="1:1" x14ac:dyDescent="0.2">
      <c r="A87" s="16" t="s">
        <v>936</v>
      </c>
    </row>
    <row r="88" spans="1:1" x14ac:dyDescent="0.2">
      <c r="A88" s="16" t="s">
        <v>2353</v>
      </c>
    </row>
    <row r="89" spans="1:1" x14ac:dyDescent="0.2">
      <c r="A89" s="16" t="s">
        <v>2354</v>
      </c>
    </row>
    <row r="90" spans="1:1" x14ac:dyDescent="0.2">
      <c r="A90" s="16" t="s">
        <v>2355</v>
      </c>
    </row>
    <row r="91" spans="1:1" x14ac:dyDescent="0.2">
      <c r="A91" s="16" t="s">
        <v>2356</v>
      </c>
    </row>
    <row r="92" spans="1:1" x14ac:dyDescent="0.2">
      <c r="A92" s="16" t="s">
        <v>519</v>
      </c>
    </row>
    <row r="93" spans="1:1" x14ac:dyDescent="0.2">
      <c r="A93" s="16" t="s">
        <v>2357</v>
      </c>
    </row>
    <row r="94" spans="1:1" x14ac:dyDescent="0.2">
      <c r="A94" s="16" t="s">
        <v>2358</v>
      </c>
    </row>
    <row r="95" spans="1:1" x14ac:dyDescent="0.2">
      <c r="A95" s="16" t="s">
        <v>2359</v>
      </c>
    </row>
    <row r="96" spans="1:1" x14ac:dyDescent="0.2">
      <c r="A96" s="16" t="s">
        <v>2360</v>
      </c>
    </row>
    <row r="97" spans="1:1" x14ac:dyDescent="0.2">
      <c r="A97" s="16" t="s">
        <v>1191</v>
      </c>
    </row>
    <row r="98" spans="1:1" x14ac:dyDescent="0.2">
      <c r="A98" s="16" t="s">
        <v>2361</v>
      </c>
    </row>
    <row r="99" spans="1:1" x14ac:dyDescent="0.2">
      <c r="A99" s="16" t="s">
        <v>2362</v>
      </c>
    </row>
    <row r="100" spans="1:1" x14ac:dyDescent="0.2">
      <c r="A100" s="16" t="s">
        <v>522</v>
      </c>
    </row>
    <row r="101" spans="1:1" x14ac:dyDescent="0.2">
      <c r="A101" s="16" t="s">
        <v>2363</v>
      </c>
    </row>
    <row r="102" spans="1:1" x14ac:dyDescent="0.2">
      <c r="A102" s="16" t="s">
        <v>2364</v>
      </c>
    </row>
    <row r="103" spans="1:1" x14ac:dyDescent="0.2">
      <c r="A103" s="16" t="s">
        <v>2365</v>
      </c>
    </row>
    <row r="104" spans="1:1" x14ac:dyDescent="0.2">
      <c r="A104" s="16" t="s">
        <v>1351</v>
      </c>
    </row>
    <row r="105" spans="1:1" x14ac:dyDescent="0.2">
      <c r="A105" s="16" t="s">
        <v>523</v>
      </c>
    </row>
    <row r="106" spans="1:1" x14ac:dyDescent="0.2">
      <c r="A106" s="16" t="s">
        <v>2366</v>
      </c>
    </row>
    <row r="107" spans="1:1" x14ac:dyDescent="0.2">
      <c r="A107" s="16" t="s">
        <v>2367</v>
      </c>
    </row>
    <row r="108" spans="1:1" x14ac:dyDescent="0.2">
      <c r="A108" s="16" t="s">
        <v>2368</v>
      </c>
    </row>
    <row r="109" spans="1:1" x14ac:dyDescent="0.2">
      <c r="A109" s="16" t="s">
        <v>2369</v>
      </c>
    </row>
    <row r="110" spans="1:1" x14ac:dyDescent="0.2">
      <c r="A110" s="16" t="s">
        <v>2370</v>
      </c>
    </row>
    <row r="111" spans="1:1" x14ac:dyDescent="0.2">
      <c r="A111" s="16" t="s">
        <v>2371</v>
      </c>
    </row>
    <row r="112" spans="1:1" x14ac:dyDescent="0.2">
      <c r="A112" s="16" t="s">
        <v>2372</v>
      </c>
    </row>
    <row r="113" spans="1:1" x14ac:dyDescent="0.2">
      <c r="A113" s="16" t="s">
        <v>1472</v>
      </c>
    </row>
    <row r="114" spans="1:1" x14ac:dyDescent="0.2">
      <c r="A114" s="16" t="s">
        <v>2373</v>
      </c>
    </row>
    <row r="115" spans="1:1" x14ac:dyDescent="0.2">
      <c r="A115" s="16" t="s">
        <v>2374</v>
      </c>
    </row>
    <row r="116" spans="1:1" x14ac:dyDescent="0.2">
      <c r="A116" s="16" t="s">
        <v>2375</v>
      </c>
    </row>
    <row r="117" spans="1:1" x14ac:dyDescent="0.2">
      <c r="A117" s="16" t="s">
        <v>2376</v>
      </c>
    </row>
    <row r="118" spans="1:1" x14ac:dyDescent="0.2">
      <c r="A118" s="16" t="s">
        <v>2377</v>
      </c>
    </row>
    <row r="119" spans="1:1" x14ac:dyDescent="0.2">
      <c r="A119" s="16" t="s">
        <v>2378</v>
      </c>
    </row>
    <row r="120" spans="1:1" x14ac:dyDescent="0.2">
      <c r="A120" s="16" t="s">
        <v>2379</v>
      </c>
    </row>
    <row r="121" spans="1:1" x14ac:dyDescent="0.2">
      <c r="A121" s="16" t="s">
        <v>2380</v>
      </c>
    </row>
    <row r="122" spans="1:1" x14ac:dyDescent="0.2">
      <c r="A122" s="16" t="s">
        <v>2381</v>
      </c>
    </row>
    <row r="123" spans="1:1" x14ac:dyDescent="0.2">
      <c r="A123" s="16" t="s">
        <v>526</v>
      </c>
    </row>
    <row r="124" spans="1:1" x14ac:dyDescent="0.2">
      <c r="A124" s="16" t="s">
        <v>2382</v>
      </c>
    </row>
    <row r="125" spans="1:1" x14ac:dyDescent="0.2">
      <c r="A125" s="16" t="s">
        <v>2383</v>
      </c>
    </row>
    <row r="126" spans="1:1" x14ac:dyDescent="0.2">
      <c r="A126" s="16" t="s">
        <v>2384</v>
      </c>
    </row>
    <row r="127" spans="1:1" x14ac:dyDescent="0.2">
      <c r="A127" s="16" t="s">
        <v>527</v>
      </c>
    </row>
    <row r="128" spans="1:1" x14ac:dyDescent="0.2">
      <c r="A128" s="16" t="s">
        <v>2385</v>
      </c>
    </row>
    <row r="129" spans="1:1" x14ac:dyDescent="0.2">
      <c r="A129" s="16" t="s">
        <v>2386</v>
      </c>
    </row>
    <row r="130" spans="1:1" x14ac:dyDescent="0.2">
      <c r="A130" s="16" t="s">
        <v>2387</v>
      </c>
    </row>
    <row r="131" spans="1:1" x14ac:dyDescent="0.2">
      <c r="A131" s="16" t="s">
        <v>2388</v>
      </c>
    </row>
    <row r="132" spans="1:1" x14ac:dyDescent="0.2">
      <c r="A132" s="16" t="s">
        <v>529</v>
      </c>
    </row>
    <row r="133" spans="1:1" x14ac:dyDescent="0.2">
      <c r="A133" s="16" t="s">
        <v>530</v>
      </c>
    </row>
    <row r="134" spans="1:1" x14ac:dyDescent="0.2">
      <c r="A134" s="16" t="s">
        <v>2389</v>
      </c>
    </row>
    <row r="135" spans="1:1" x14ac:dyDescent="0.2">
      <c r="A135" s="16" t="s">
        <v>2390</v>
      </c>
    </row>
    <row r="136" spans="1:1" x14ac:dyDescent="0.2">
      <c r="A136" s="16" t="s">
        <v>2391</v>
      </c>
    </row>
    <row r="137" spans="1:1" x14ac:dyDescent="0.2">
      <c r="A137" s="16" t="s">
        <v>531</v>
      </c>
    </row>
    <row r="138" spans="1:1" x14ac:dyDescent="0.2">
      <c r="A138" s="16" t="s">
        <v>2392</v>
      </c>
    </row>
    <row r="139" spans="1:1" x14ac:dyDescent="0.2">
      <c r="A139" s="16" t="s">
        <v>2393</v>
      </c>
    </row>
    <row r="140" spans="1:1" x14ac:dyDescent="0.2">
      <c r="A140" s="16" t="s">
        <v>2394</v>
      </c>
    </row>
    <row r="141" spans="1:1" x14ac:dyDescent="0.2">
      <c r="A141" s="16" t="s">
        <v>2395</v>
      </c>
    </row>
    <row r="142" spans="1:1" x14ac:dyDescent="0.2">
      <c r="A142" s="16" t="s">
        <v>2396</v>
      </c>
    </row>
    <row r="143" spans="1:1" x14ac:dyDescent="0.2">
      <c r="A143" s="16" t="s">
        <v>2397</v>
      </c>
    </row>
    <row r="144" spans="1:1" x14ac:dyDescent="0.2">
      <c r="A144" s="16" t="s">
        <v>2398</v>
      </c>
    </row>
    <row r="145" spans="1:1" x14ac:dyDescent="0.2">
      <c r="A145" s="16" t="s">
        <v>2399</v>
      </c>
    </row>
    <row r="146" spans="1:1" x14ac:dyDescent="0.2">
      <c r="A146" s="16" t="s">
        <v>2400</v>
      </c>
    </row>
    <row r="147" spans="1:1" x14ac:dyDescent="0.2">
      <c r="A147" s="16" t="s">
        <v>2401</v>
      </c>
    </row>
    <row r="148" spans="1:1" x14ac:dyDescent="0.2">
      <c r="A148" s="16" t="s">
        <v>2402</v>
      </c>
    </row>
    <row r="149" spans="1:1" x14ac:dyDescent="0.2">
      <c r="A149" s="16" t="s">
        <v>2403</v>
      </c>
    </row>
    <row r="150" spans="1:1" x14ac:dyDescent="0.2">
      <c r="A150" s="16" t="s">
        <v>532</v>
      </c>
    </row>
    <row r="151" spans="1:1" x14ac:dyDescent="0.2">
      <c r="A151" s="16" t="s">
        <v>533</v>
      </c>
    </row>
    <row r="152" spans="1:1" x14ac:dyDescent="0.2">
      <c r="A152" s="16" t="s">
        <v>2404</v>
      </c>
    </row>
    <row r="153" spans="1:1" x14ac:dyDescent="0.2">
      <c r="A153" s="16" t="s">
        <v>2405</v>
      </c>
    </row>
    <row r="154" spans="1:1" x14ac:dyDescent="0.2">
      <c r="A154" s="16" t="s">
        <v>2406</v>
      </c>
    </row>
    <row r="155" spans="1:1" x14ac:dyDescent="0.2">
      <c r="A155" s="16" t="s">
        <v>2407</v>
      </c>
    </row>
    <row r="156" spans="1:1" x14ac:dyDescent="0.2">
      <c r="A156" s="16" t="s">
        <v>534</v>
      </c>
    </row>
    <row r="157" spans="1:1" x14ac:dyDescent="0.2">
      <c r="A157" s="16" t="s">
        <v>2408</v>
      </c>
    </row>
    <row r="158" spans="1:1" x14ac:dyDescent="0.2">
      <c r="A158" s="16" t="s">
        <v>2409</v>
      </c>
    </row>
    <row r="159" spans="1:1" x14ac:dyDescent="0.2">
      <c r="A159" s="16" t="s">
        <v>561</v>
      </c>
    </row>
    <row r="160" spans="1:1" x14ac:dyDescent="0.2">
      <c r="A160" s="16" t="s">
        <v>2410</v>
      </c>
    </row>
    <row r="161" spans="1:1" x14ac:dyDescent="0.2">
      <c r="A161" s="16" t="s">
        <v>2411</v>
      </c>
    </row>
    <row r="162" spans="1:1" x14ac:dyDescent="0.2">
      <c r="A162" s="16" t="s">
        <v>535</v>
      </c>
    </row>
    <row r="163" spans="1:1" x14ac:dyDescent="0.2">
      <c r="A163" s="16" t="s">
        <v>947</v>
      </c>
    </row>
    <row r="164" spans="1:1" x14ac:dyDescent="0.2">
      <c r="A164" s="16" t="s">
        <v>536</v>
      </c>
    </row>
    <row r="165" spans="1:1" x14ac:dyDescent="0.2">
      <c r="A165" s="16" t="s">
        <v>1307</v>
      </c>
    </row>
    <row r="166" spans="1:1" x14ac:dyDescent="0.2">
      <c r="A166" s="16" t="s">
        <v>537</v>
      </c>
    </row>
    <row r="167" spans="1:1" x14ac:dyDescent="0.2">
      <c r="A167" s="16" t="s">
        <v>2412</v>
      </c>
    </row>
    <row r="168" spans="1:1" x14ac:dyDescent="0.2">
      <c r="A168" s="16" t="s">
        <v>2413</v>
      </c>
    </row>
    <row r="169" spans="1:1" x14ac:dyDescent="0.2">
      <c r="A169" s="16" t="s">
        <v>2414</v>
      </c>
    </row>
    <row r="170" spans="1:1" x14ac:dyDescent="0.2">
      <c r="A170" s="16" t="s">
        <v>639</v>
      </c>
    </row>
    <row r="171" spans="1:1" x14ac:dyDescent="0.2">
      <c r="A171" s="16" t="s">
        <v>640</v>
      </c>
    </row>
    <row r="172" spans="1:1" x14ac:dyDescent="0.2">
      <c r="A172" s="16" t="s">
        <v>2415</v>
      </c>
    </row>
    <row r="173" spans="1:1" x14ac:dyDescent="0.2">
      <c r="A173" s="16" t="s">
        <v>2416</v>
      </c>
    </row>
  </sheetData>
  <sheetProtection algorithmName="SHA-512" hashValue="PzxlvmhodTk0oQVBzP6VLvcW4oMoHUpaNvWjj066X+eTOkRcpkZUfMFWI5zFvKCAxG/tXufgSp2Bu21aLfu7ww==" saltValue="i7N7oF8XmiatNvWz21iRVQ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pageSetUpPr fitToPage="1"/>
  </sheetPr>
  <dimension ref="A1:P26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G6" s="699" t="s">
        <v>1768</v>
      </c>
      <c r="H6" s="699"/>
      <c r="I6" s="699"/>
      <c r="J6" s="699"/>
    </row>
    <row r="7" spans="1:16" s="76" customFormat="1" ht="24.95" customHeight="1" thickBot="1" x14ac:dyDescent="0.25"/>
    <row r="8" spans="1:16" s="76" customFormat="1" ht="24.95" customHeight="1" thickTop="1" thickBot="1" x14ac:dyDescent="0.25">
      <c r="F8" s="711" t="str">
        <f>HYPERLINK("#"&amp;"'CultivoOrgPlantio'!h1","Culturas Perenes - Implantação")</f>
        <v>Culturas Perenes - Implantação</v>
      </c>
      <c r="G8" s="711"/>
      <c r="H8" s="711"/>
      <c r="I8" s="711"/>
      <c r="J8" s="711"/>
      <c r="K8" s="711"/>
    </row>
    <row r="9" spans="1:16" s="76" customFormat="1" ht="24.95" customHeight="1" thickTop="1" thickBot="1" x14ac:dyDescent="0.25">
      <c r="F9" s="711" t="str">
        <f>HYPERLINK("#"&amp;"'CultivoOrgProducao'!h1","Culturas Perenes - Produção")</f>
        <v>Culturas Perenes - Produção</v>
      </c>
      <c r="G9" s="711"/>
      <c r="H9" s="711"/>
      <c r="I9" s="711"/>
      <c r="J9" s="711"/>
      <c r="K9" s="711"/>
    </row>
    <row r="10" spans="1:16" s="76" customFormat="1" ht="24.95" customHeight="1" thickTop="1" thickBot="1" x14ac:dyDescent="0.25">
      <c r="D10" s="77"/>
      <c r="F10" s="711" t="str">
        <f>HYPERLINK("#"&amp;"'CafeOrgProducao'!h1","Café - Produção")</f>
        <v>Café - Produção</v>
      </c>
      <c r="G10" s="711"/>
      <c r="H10" s="711"/>
      <c r="I10" s="711"/>
      <c r="J10" s="711"/>
      <c r="K10" s="711"/>
      <c r="L10" s="78"/>
    </row>
    <row r="11" spans="1:16" s="76" customFormat="1" ht="24.95" customHeight="1" thickTop="1" x14ac:dyDescent="0.2">
      <c r="H11" s="79"/>
    </row>
    <row r="12" spans="1:16" s="76" customFormat="1" ht="24.95" customHeight="1" x14ac:dyDescent="0.2">
      <c r="C12" s="80"/>
      <c r="D12" s="81"/>
      <c r="E12" s="81"/>
      <c r="F12" s="81"/>
      <c r="G12" s="82"/>
      <c r="H12" s="710" t="s">
        <v>1148</v>
      </c>
      <c r="I12" s="710"/>
      <c r="J12" s="82"/>
      <c r="K12" s="82"/>
      <c r="L12" s="82"/>
      <c r="M12" s="82"/>
      <c r="N12" s="83"/>
    </row>
    <row r="13" spans="1:16" s="76" customFormat="1" ht="24.95" customHeight="1" thickBot="1" x14ac:dyDescent="0.3">
      <c r="C13" s="84" t="s">
        <v>1618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7"/>
    </row>
    <row r="14" spans="1:16" s="76" customFormat="1" ht="24.95" customHeight="1" thickTop="1" thickBot="1" x14ac:dyDescent="0.3">
      <c r="C14" s="84"/>
      <c r="D14" s="711" t="str">
        <f>HYPERLINK("#"&amp;"'CultivoOrgG1'!h1","Hortaliças - Grupo 1")</f>
        <v>Hortaliças - Grupo 1</v>
      </c>
      <c r="E14" s="711"/>
      <c r="F14" s="711"/>
      <c r="G14" s="88" t="s">
        <v>956</v>
      </c>
      <c r="H14" s="86"/>
      <c r="I14" s="86"/>
      <c r="J14" s="86"/>
      <c r="K14" s="86"/>
      <c r="L14" s="86"/>
      <c r="M14" s="86"/>
      <c r="N14" s="87"/>
    </row>
    <row r="15" spans="1:16" s="76" customFormat="1" ht="24.95" customHeight="1" thickTop="1" thickBot="1" x14ac:dyDescent="0.3">
      <c r="C15" s="84"/>
      <c r="D15" s="711" t="str">
        <f>HYPERLINK("#"&amp;"'CultivoOrgG2'!h1","Hortaliças - Grupo 2")</f>
        <v>Hortaliças - Grupo 2</v>
      </c>
      <c r="E15" s="711"/>
      <c r="F15" s="711"/>
      <c r="G15" s="88" t="s">
        <v>957</v>
      </c>
      <c r="H15" s="86"/>
      <c r="I15" s="86"/>
      <c r="J15" s="86"/>
      <c r="K15" s="86"/>
      <c r="L15" s="86"/>
      <c r="M15" s="86"/>
      <c r="N15" s="87"/>
    </row>
    <row r="16" spans="1:16" s="76" customFormat="1" ht="24.95" customHeight="1" thickTop="1" thickBot="1" x14ac:dyDescent="0.3">
      <c r="C16" s="84" t="s">
        <v>1619</v>
      </c>
      <c r="D16" s="89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3:14" s="76" customFormat="1" ht="24.95" customHeight="1" thickTop="1" thickBot="1" x14ac:dyDescent="0.25">
      <c r="C17" s="90"/>
      <c r="D17" s="711" t="str">
        <f>HYPERLINK("#"&amp;"'CultivoOrgG3'!h1","Hortaliças - Grupo 3")</f>
        <v>Hortaliças - Grupo 3</v>
      </c>
      <c r="E17" s="711"/>
      <c r="F17" s="711"/>
      <c r="G17" s="88" t="s">
        <v>958</v>
      </c>
      <c r="H17" s="86"/>
      <c r="I17" s="86"/>
      <c r="J17" s="86"/>
      <c r="K17" s="86"/>
      <c r="L17" s="86"/>
      <c r="M17" s="86"/>
      <c r="N17" s="87"/>
    </row>
    <row r="18" spans="3:14" s="76" customFormat="1" ht="24.95" customHeight="1" thickTop="1" thickBot="1" x14ac:dyDescent="0.25">
      <c r="C18" s="90"/>
      <c r="D18" s="711" t="str">
        <f>HYPERLINK("#"&amp;"'CultivoOrgG4'!h1","Hortaliças - Grupo 4")</f>
        <v>Hortaliças - Grupo 4</v>
      </c>
      <c r="E18" s="711"/>
      <c r="F18" s="711"/>
      <c r="G18" s="88" t="s">
        <v>959</v>
      </c>
      <c r="H18" s="86"/>
      <c r="I18" s="86"/>
      <c r="J18" s="86"/>
      <c r="K18" s="86"/>
      <c r="L18" s="86"/>
      <c r="M18" s="86"/>
      <c r="N18" s="87"/>
    </row>
    <row r="19" spans="3:14" s="76" customFormat="1" ht="24.95" customHeight="1" thickTop="1" thickBot="1" x14ac:dyDescent="0.25">
      <c r="C19" s="90"/>
      <c r="D19" s="711" t="str">
        <f>HYPERLINK("#"&amp;"'CultivoOrgG5'!h1","Hortaliças - Grupo 5")</f>
        <v>Hortaliças - Grupo 5</v>
      </c>
      <c r="E19" s="711"/>
      <c r="F19" s="711"/>
      <c r="G19" s="88" t="s">
        <v>849</v>
      </c>
      <c r="H19" s="86"/>
      <c r="I19" s="86"/>
      <c r="J19" s="86"/>
      <c r="K19" s="86"/>
      <c r="L19" s="86"/>
      <c r="M19" s="86"/>
      <c r="N19" s="87"/>
    </row>
    <row r="20" spans="3:14" s="76" customFormat="1" ht="24.95" customHeight="1" thickTop="1" thickBot="1" x14ac:dyDescent="0.25">
      <c r="C20" s="90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</row>
    <row r="21" spans="3:14" s="76" customFormat="1" ht="24.95" customHeight="1" thickTop="1" thickBot="1" x14ac:dyDescent="0.25">
      <c r="C21" s="90"/>
      <c r="D21" s="86"/>
      <c r="E21" s="86"/>
      <c r="F21" s="711" t="str">
        <f>HYPERLINK("#"&amp;"'EspacamentoOrg'!h1","Espaçamento para Cultivos Orgânicos")</f>
        <v>Espaçamento para Cultivos Orgânicos</v>
      </c>
      <c r="G21" s="711"/>
      <c r="H21" s="711"/>
      <c r="I21" s="711"/>
      <c r="J21" s="711"/>
      <c r="K21" s="689"/>
      <c r="L21" s="86"/>
      <c r="M21" s="86"/>
      <c r="N21" s="87"/>
    </row>
    <row r="22" spans="3:14" s="76" customFormat="1" ht="24.95" customHeight="1" thickTop="1" thickBot="1" x14ac:dyDescent="0.25">
      <c r="C22" s="90"/>
      <c r="D22" s="86"/>
      <c r="E22" s="86"/>
      <c r="F22" s="711" t="str">
        <f>HYPERLINK("#"&amp;"'ExigenciaN'!h1","Exigência em Nitrogênio para Hortaliças")</f>
        <v>Exigência em Nitrogênio para Hortaliças</v>
      </c>
      <c r="G22" s="711"/>
      <c r="H22" s="711"/>
      <c r="I22" s="711"/>
      <c r="J22" s="711"/>
      <c r="K22" s="711"/>
      <c r="L22" s="86"/>
      <c r="M22" s="86"/>
      <c r="N22" s="87"/>
    </row>
    <row r="23" spans="3:14" s="76" customFormat="1" ht="24.95" customHeight="1" thickTop="1" thickBot="1" x14ac:dyDescent="0.25">
      <c r="C23" s="90"/>
      <c r="D23" s="86"/>
      <c r="E23" s="86"/>
      <c r="F23" s="711" t="str">
        <f>HYPERLINK("#"&amp;"'FertiOrg'!h1","Fertilizantes Orgânicos")</f>
        <v>Fertilizantes Orgânicos</v>
      </c>
      <c r="G23" s="711"/>
      <c r="H23" s="711"/>
      <c r="I23" s="711"/>
      <c r="J23" s="711"/>
      <c r="K23" s="711"/>
      <c r="L23" s="86"/>
      <c r="M23" s="86"/>
      <c r="N23" s="87"/>
    </row>
    <row r="24" spans="3:14" s="76" customFormat="1" ht="24.95" customHeight="1" thickTop="1" x14ac:dyDescent="0.2">
      <c r="C24" s="91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3"/>
    </row>
    <row r="25" spans="3:14" s="76" customFormat="1" ht="24.95" customHeight="1" x14ac:dyDescent="0.2"/>
    <row r="26" spans="3:14" ht="15" customHeight="1" x14ac:dyDescent="0.2"/>
  </sheetData>
  <sheetProtection algorithmName="SHA-512" hashValue="TmNlPqB3P+PJgY6ozgj1zv08Olce2AX2UszBJd8uYsx1yylg07nCQR+4dzyKtMPk31084sufi3YuIUxOhFde8Q==" saltValue="fR/8G6zai9cSSBdCg2/wOg==" spinCount="100000" sheet="1" objects="1" scenarios="1"/>
  <mergeCells count="13">
    <mergeCell ref="G6:J6"/>
    <mergeCell ref="H12:I12"/>
    <mergeCell ref="F23:K23"/>
    <mergeCell ref="F8:K8"/>
    <mergeCell ref="F10:K10"/>
    <mergeCell ref="F9:K9"/>
    <mergeCell ref="D14:F14"/>
    <mergeCell ref="D15:F15"/>
    <mergeCell ref="D17:F17"/>
    <mergeCell ref="D18:F18"/>
    <mergeCell ref="D19:F19"/>
    <mergeCell ref="F21:K21"/>
    <mergeCell ref="F22:K22"/>
  </mergeCells>
  <phoneticPr fontId="49" type="noConversion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3">
    <pageSetUpPr fitToPage="1"/>
  </sheetPr>
  <dimension ref="A1:Y6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190</v>
      </c>
      <c r="G11" s="237">
        <v>40</v>
      </c>
      <c r="H11" s="266" t="s">
        <v>495</v>
      </c>
      <c r="I11" s="659">
        <f>(100/(G11/100))*100</f>
        <v>25000</v>
      </c>
      <c r="J11" s="263" t="s">
        <v>347</v>
      </c>
    </row>
    <row r="12" spans="1:16" ht="15" customHeight="1" x14ac:dyDescent="0.2">
      <c r="G12" s="265"/>
      <c r="H12" s="271"/>
      <c r="I12" s="271"/>
    </row>
    <row r="13" spans="1:16" ht="15" customHeight="1" x14ac:dyDescent="0.2">
      <c r="D13" s="266" t="s">
        <v>338</v>
      </c>
      <c r="G13" s="237">
        <v>10</v>
      </c>
      <c r="H13" s="49" t="s">
        <v>1953</v>
      </c>
      <c r="I13" s="271"/>
    </row>
    <row r="14" spans="1:16" ht="15" customHeight="1" x14ac:dyDescent="0.2">
      <c r="G14" s="237">
        <v>90</v>
      </c>
      <c r="H14" s="49" t="s">
        <v>1933</v>
      </c>
      <c r="I14" s="271"/>
    </row>
    <row r="15" spans="1:16" ht="15" customHeight="1" x14ac:dyDescent="0.2">
      <c r="G15" s="237">
        <v>8</v>
      </c>
      <c r="H15" s="49" t="s">
        <v>1934</v>
      </c>
      <c r="I15" s="271"/>
    </row>
    <row r="16" spans="1:16" ht="15" customHeight="1" x14ac:dyDescent="0.2">
      <c r="G16" s="237">
        <v>30</v>
      </c>
      <c r="H16" s="49" t="s">
        <v>1929</v>
      </c>
      <c r="I16" s="271"/>
    </row>
    <row r="17" spans="4:25" ht="15" customHeight="1" x14ac:dyDescent="0.2">
      <c r="G17" s="265"/>
      <c r="H17" s="49"/>
      <c r="I17" s="271"/>
    </row>
    <row r="18" spans="4:25" ht="15" customHeight="1" x14ac:dyDescent="0.2">
      <c r="D18" s="266" t="s">
        <v>340</v>
      </c>
      <c r="G18" s="237">
        <v>90</v>
      </c>
      <c r="H18" s="49" t="s">
        <v>341</v>
      </c>
      <c r="I18" s="271"/>
    </row>
    <row r="19" spans="4:25" ht="15" customHeight="1" x14ac:dyDescent="0.2">
      <c r="F19" s="265"/>
    </row>
    <row r="20" spans="4:25" ht="15" customHeight="1" x14ac:dyDescent="0.2"/>
    <row r="21" spans="4:25" ht="15" customHeight="1" x14ac:dyDescent="0.25">
      <c r="D21" s="291" t="s">
        <v>350</v>
      </c>
      <c r="E21" s="291"/>
      <c r="F21" s="291"/>
      <c r="G21" s="291"/>
      <c r="H21" s="291"/>
      <c r="I21" s="27"/>
    </row>
    <row r="22" spans="4:25" ht="15" customHeight="1" x14ac:dyDescent="0.25">
      <c r="D22" s="257" t="s">
        <v>573</v>
      </c>
      <c r="E22" s="309"/>
      <c r="F22" s="309"/>
      <c r="G22" s="309"/>
      <c r="L22" s="220"/>
      <c r="W22" s="171"/>
      <c r="X22" s="26"/>
    </row>
    <row r="23" spans="4:25" ht="15" customHeight="1" x14ac:dyDescent="0.2">
      <c r="D23" s="298" t="s">
        <v>1708</v>
      </c>
      <c r="E23" s="267"/>
      <c r="G23" s="286">
        <f>IF((G15*(60-G16)/G18)&gt;0, G15*(60-G16)/G18,0)</f>
        <v>2.6666666666666665</v>
      </c>
      <c r="H23" s="300" t="s">
        <v>349</v>
      </c>
      <c r="I23" s="213"/>
      <c r="J23" s="213"/>
      <c r="K23" s="213"/>
      <c r="L23" s="213"/>
      <c r="M23" s="213"/>
      <c r="W23" s="273"/>
    </row>
    <row r="24" spans="4:25" ht="15" customHeight="1" x14ac:dyDescent="0.2">
      <c r="F24" s="222"/>
      <c r="X24" s="26"/>
      <c r="Y24" s="26"/>
    </row>
    <row r="25" spans="4:25" ht="15" customHeight="1" x14ac:dyDescent="0.2">
      <c r="D25" s="169" t="s">
        <v>1702</v>
      </c>
      <c r="G25" s="224">
        <v>5</v>
      </c>
      <c r="H25" s="170" t="str">
        <f>"g/m de sulco de "&amp;W25&amp;" ."</f>
        <v>g/m de sulco de 20-00-20 .</v>
      </c>
      <c r="W25" s="273" t="str">
        <f>IF(G14&lt;60,"20-00-30",IF(AND(G14&gt;=60,G14&lt;120),"20-00-20",IF(AND(G14&gt;=120,G14&lt;200),"20-00-15",IF(AND(G14&gt;=200,G14&lt;280),"20-00-10","Sultato de Amônio"))))</f>
        <v>20-00-20</v>
      </c>
      <c r="Y25" s="26"/>
    </row>
    <row r="26" spans="4:25" ht="15" customHeight="1" x14ac:dyDescent="0.2">
      <c r="G26" s="224" t="str">
        <f>W26</f>
        <v>20</v>
      </c>
      <c r="H26" s="49" t="s">
        <v>2138</v>
      </c>
      <c r="I26" s="303"/>
      <c r="J26" s="218"/>
      <c r="K26" s="271"/>
      <c r="W26" s="292" t="str">
        <f>IF(G13&lt;40,"20",IF(AND(G13&gt;=40,G13&lt;60),"15",IF(AND(G13&gt;=60,G13&lt;100),"10",0)))</f>
        <v>20</v>
      </c>
      <c r="X26" s="26" t="s">
        <v>344</v>
      </c>
      <c r="Y26" s="26"/>
    </row>
    <row r="27" spans="4:25" ht="15" customHeight="1" x14ac:dyDescent="0.2">
      <c r="G27" s="224">
        <v>3</v>
      </c>
      <c r="H27" s="49" t="s">
        <v>2181</v>
      </c>
      <c r="I27" s="208"/>
      <c r="J27" s="218"/>
      <c r="K27" s="306"/>
      <c r="L27" s="263"/>
      <c r="M27" s="27"/>
      <c r="W27" s="26"/>
      <c r="X27" s="26"/>
      <c r="Y27" s="26"/>
    </row>
    <row r="28" spans="4:25" ht="15" customHeight="1" x14ac:dyDescent="0.2">
      <c r="F28" s="169"/>
    </row>
    <row r="29" spans="4:25" ht="15" customHeight="1" x14ac:dyDescent="0.2">
      <c r="D29" s="169" t="s">
        <v>342</v>
      </c>
      <c r="F29" s="289"/>
      <c r="G29" s="224">
        <v>10</v>
      </c>
      <c r="H29" s="266" t="str">
        <f>"g/m do formulado "&amp;W25&amp;" ."</f>
        <v>g/m do formulado 20-00-20 .</v>
      </c>
      <c r="J29" s="308"/>
    </row>
    <row r="30" spans="4:25" ht="15" customHeight="1" x14ac:dyDescent="0.2"/>
    <row r="31" spans="4:25" ht="15" customHeight="1" x14ac:dyDescent="0.2"/>
    <row r="32" spans="4:25" ht="15" customHeight="1" x14ac:dyDescent="0.2"/>
    <row r="33" spans="2:10" ht="15" customHeight="1" x14ac:dyDescent="0.2"/>
    <row r="34" spans="2:10" ht="15" customHeight="1" x14ac:dyDescent="0.2"/>
    <row r="35" spans="2:10" ht="15" customHeight="1" x14ac:dyDescent="0.2"/>
    <row r="36" spans="2:10" ht="15" customHeight="1" x14ac:dyDescent="0.2"/>
    <row r="37" spans="2:10" ht="15" customHeight="1" x14ac:dyDescent="0.2"/>
    <row r="38" spans="2:10" ht="15" customHeight="1" x14ac:dyDescent="0.2"/>
    <row r="39" spans="2:10" ht="15" customHeight="1" x14ac:dyDescent="0.2">
      <c r="D39" s="226" t="s">
        <v>891</v>
      </c>
      <c r="E39" s="717">
        <f ca="1">TODAY()</f>
        <v>45064</v>
      </c>
      <c r="F39" s="714"/>
      <c r="G39" s="60" t="s">
        <v>373</v>
      </c>
    </row>
    <row r="40" spans="2:10" ht="15" customHeight="1" x14ac:dyDescent="0.2"/>
    <row r="41" spans="2:10" ht="15" hidden="1" customHeight="1" x14ac:dyDescent="0.2"/>
    <row r="42" spans="2:10" s="60" customFormat="1" ht="15" hidden="1" customHeight="1" x14ac:dyDescent="0.2"/>
    <row r="43" spans="2:10" s="60" customFormat="1" ht="15" hidden="1" customHeight="1" x14ac:dyDescent="0.2">
      <c r="D43" s="267"/>
    </row>
    <row r="44" spans="2:10" s="60" customFormat="1" ht="15" hidden="1" customHeight="1" x14ac:dyDescent="0.2">
      <c r="D44" s="267"/>
    </row>
    <row r="45" spans="2:10" s="60" customFormat="1" ht="15" hidden="1" customHeight="1" x14ac:dyDescent="0.2">
      <c r="D45" s="267"/>
    </row>
    <row r="46" spans="2:10" s="60" customFormat="1" ht="15" hidden="1" customHeight="1" x14ac:dyDescent="0.2">
      <c r="D46" s="267"/>
      <c r="H46" s="859"/>
      <c r="I46" s="859"/>
      <c r="J46" s="859"/>
    </row>
    <row r="47" spans="2:10" s="60" customFormat="1" ht="15" hidden="1" customHeight="1" x14ac:dyDescent="0.2">
      <c r="B47" s="267"/>
    </row>
    <row r="48" spans="2:10" s="60" customFormat="1" ht="15" hidden="1" customHeight="1" x14ac:dyDescent="0.2">
      <c r="B48" s="267"/>
    </row>
    <row r="49" spans="2:7" s="60" customFormat="1" ht="15" hidden="1" customHeight="1" x14ac:dyDescent="0.2">
      <c r="B49" s="267"/>
    </row>
    <row r="50" spans="2:7" s="60" customFormat="1" ht="15" hidden="1" customHeight="1" x14ac:dyDescent="0.2">
      <c r="B50" s="267"/>
    </row>
    <row r="51" spans="2:7" s="60" customFormat="1" ht="15" hidden="1" customHeight="1" x14ac:dyDescent="0.2">
      <c r="B51" s="267"/>
      <c r="G51" s="111" t="s">
        <v>374</v>
      </c>
    </row>
    <row r="52" spans="2:7" ht="15" hidden="1" customHeight="1" x14ac:dyDescent="0.2"/>
    <row r="53" spans="2:7" ht="15" hidden="1" customHeight="1" x14ac:dyDescent="0.2">
      <c r="B53" s="320"/>
      <c r="D53" s="267"/>
      <c r="E53" s="60"/>
      <c r="F53" s="60"/>
    </row>
    <row r="54" spans="2:7" ht="15" hidden="1" customHeight="1" x14ac:dyDescent="0.2">
      <c r="C54" s="267"/>
      <c r="D54" s="267"/>
      <c r="E54" s="60"/>
      <c r="F54" s="60"/>
    </row>
    <row r="55" spans="2:7" ht="15" hidden="1" customHeight="1" x14ac:dyDescent="0.2">
      <c r="C55" s="267"/>
      <c r="D55" s="267"/>
      <c r="E55" s="60"/>
      <c r="F55" s="60"/>
    </row>
    <row r="56" spans="2:7" ht="15" hidden="1" customHeight="1" x14ac:dyDescent="0.2">
      <c r="C56" s="267"/>
      <c r="D56" s="267"/>
      <c r="E56" s="60"/>
      <c r="F56" s="60"/>
    </row>
    <row r="57" spans="2:7" ht="15" hidden="1" customHeight="1" x14ac:dyDescent="0.2">
      <c r="C57" s="267"/>
      <c r="D57" s="267"/>
      <c r="E57" s="60"/>
      <c r="F57" s="60"/>
    </row>
    <row r="58" spans="2:7" ht="15" hidden="1" customHeight="1" x14ac:dyDescent="0.2">
      <c r="C58" s="267"/>
      <c r="D58" s="267"/>
      <c r="E58" s="60"/>
      <c r="F58" s="60"/>
    </row>
    <row r="59" spans="2:7" ht="15" hidden="1" customHeight="1" x14ac:dyDescent="0.2">
      <c r="C59" s="267"/>
      <c r="D59" s="267"/>
      <c r="E59" s="60"/>
      <c r="F59" s="60"/>
    </row>
    <row r="60" spans="2:7" ht="15" hidden="1" customHeight="1" x14ac:dyDescent="0.2">
      <c r="C60" s="267"/>
      <c r="D60" s="267"/>
      <c r="E60" s="60"/>
      <c r="F60" s="60"/>
    </row>
    <row r="61" spans="2:7" ht="15" hidden="1" customHeight="1" x14ac:dyDescent="0.2">
      <c r="C61" s="267"/>
      <c r="D61" s="267"/>
      <c r="E61" s="60"/>
      <c r="F61" s="60"/>
    </row>
    <row r="62" spans="2:7" ht="15" hidden="1" customHeight="1" x14ac:dyDescent="0.2">
      <c r="C62" s="267"/>
      <c r="D62" s="267"/>
      <c r="E62" s="60"/>
      <c r="F62" s="60"/>
    </row>
    <row r="63" spans="2:7" ht="15" hidden="1" customHeight="1" x14ac:dyDescent="0.2">
      <c r="C63" s="267"/>
      <c r="D63" s="267"/>
      <c r="E63" s="60"/>
      <c r="F63" s="60"/>
    </row>
    <row r="64" spans="2:7" ht="15" customHeight="1" x14ac:dyDescent="0.2"/>
    <row r="65" ht="15" customHeight="1" x14ac:dyDescent="0.2"/>
    <row r="66" ht="15" customHeight="1" x14ac:dyDescent="0.2"/>
    <row r="67" ht="15" customHeight="1" x14ac:dyDescent="0.2"/>
  </sheetData>
  <sheetProtection algorithmName="SHA-512" hashValue="UTsUtgm2y9UsN2xc+S99C2YBuaWXAqTaIWUQYqn8ZRrA1WPnhs9TuI6HWtGHvrfhgFsWT3JlFKJLkiCjICxzqA==" saltValue="dW2+SjdDqGyyjr88JvaT+g==" spinCount="100000" sheet="1" objects="1" scenarios="1" selectLockedCells="1"/>
  <mergeCells count="4">
    <mergeCell ref="C6:N6"/>
    <mergeCell ref="H46:J46"/>
    <mergeCell ref="E8:M8"/>
    <mergeCell ref="E39:F39"/>
  </mergeCells>
  <phoneticPr fontId="0" type="noConversion"/>
  <hyperlinks>
    <hyperlink ref="G51" location="Culturas!A1" display="Voltar"/>
  </hyperlinks>
  <printOptions horizontalCentered="1"/>
  <pageMargins left="0.78740157480314965" right="0.78740157480314965" top="0.78740157480314965" bottom="0.78740157480314965" header="0.51181102362204722" footer="0.51181102362204722"/>
  <pageSetup paperSize="9" scale="79" orientation="portrait" cellComments="atEnd" horizontalDpi="300" verticalDpi="300" r:id="rId1"/>
  <headerFooter alignWithMargins="0"/>
  <rowBreaks count="1" manualBreakCount="1">
    <brk id="48" max="7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4">
    <pageSetUpPr fitToPage="1"/>
  </sheetPr>
  <dimension ref="A1:X5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1208</v>
      </c>
      <c r="G11" s="9">
        <v>1</v>
      </c>
      <c r="H11" s="49" t="s">
        <v>2070</v>
      </c>
      <c r="I11" s="9">
        <v>0.5</v>
      </c>
      <c r="J11" s="49" t="s">
        <v>2069</v>
      </c>
      <c r="K11" s="527">
        <f>10000/(G11*I11)</f>
        <v>20000</v>
      </c>
      <c r="L11" s="49" t="s">
        <v>353</v>
      </c>
    </row>
    <row r="12" spans="1:16" ht="15" customHeight="1" x14ac:dyDescent="0.2">
      <c r="G12" s="265"/>
      <c r="H12" s="271"/>
      <c r="I12" s="271"/>
    </row>
    <row r="13" spans="1:16" ht="15" customHeight="1" x14ac:dyDescent="0.2">
      <c r="D13" s="266" t="s">
        <v>1703</v>
      </c>
      <c r="G13" s="237">
        <v>10</v>
      </c>
      <c r="H13" s="49" t="s">
        <v>1953</v>
      </c>
      <c r="I13" s="271"/>
    </row>
    <row r="14" spans="1:16" ht="15" customHeight="1" x14ac:dyDescent="0.2">
      <c r="G14" s="237">
        <v>150</v>
      </c>
      <c r="H14" s="49" t="s">
        <v>1933</v>
      </c>
      <c r="I14" s="271"/>
    </row>
    <row r="15" spans="1:16" ht="15" customHeight="1" x14ac:dyDescent="0.2">
      <c r="G15" s="237">
        <v>8</v>
      </c>
      <c r="H15" s="49" t="s">
        <v>1934</v>
      </c>
      <c r="I15" s="271"/>
    </row>
    <row r="16" spans="1:16" ht="15" customHeight="1" x14ac:dyDescent="0.2">
      <c r="G16" s="237">
        <v>20</v>
      </c>
      <c r="H16" s="49" t="s">
        <v>1929</v>
      </c>
      <c r="I16" s="271"/>
    </row>
    <row r="17" spans="4:23" ht="15" customHeight="1" x14ac:dyDescent="0.2">
      <c r="G17" s="265"/>
      <c r="H17" s="49"/>
      <c r="I17" s="271"/>
    </row>
    <row r="18" spans="4:23" ht="15" customHeight="1" x14ac:dyDescent="0.2">
      <c r="D18" s="266" t="s">
        <v>340</v>
      </c>
      <c r="G18" s="237">
        <v>90</v>
      </c>
      <c r="H18" s="49" t="s">
        <v>341</v>
      </c>
      <c r="I18" s="271"/>
    </row>
    <row r="19" spans="4:23" ht="15" customHeight="1" x14ac:dyDescent="0.2">
      <c r="G19" s="265"/>
      <c r="H19" s="49"/>
    </row>
    <row r="20" spans="4:23" ht="15" customHeight="1" x14ac:dyDescent="0.25">
      <c r="D20" s="291" t="s">
        <v>350</v>
      </c>
      <c r="E20" s="291"/>
      <c r="F20" s="291"/>
      <c r="G20" s="291"/>
      <c r="H20" s="302"/>
      <c r="I20" s="27"/>
    </row>
    <row r="21" spans="4:23" ht="15" customHeight="1" x14ac:dyDescent="0.25">
      <c r="D21" s="257" t="s">
        <v>573</v>
      </c>
      <c r="E21" s="309"/>
      <c r="F21" s="309"/>
      <c r="G21" s="309"/>
      <c r="H21" s="49"/>
    </row>
    <row r="22" spans="4:23" s="213" customFormat="1" ht="15" customHeight="1" x14ac:dyDescent="0.2">
      <c r="D22" s="298" t="s">
        <v>1708</v>
      </c>
      <c r="E22" s="267"/>
      <c r="G22" s="286">
        <f>IF((G15*(70-G16)/G18)&gt;0, G15*(70-G16)/G18,0)</f>
        <v>4.4444444444444446</v>
      </c>
      <c r="H22" s="357" t="s">
        <v>349</v>
      </c>
      <c r="I22" s="256"/>
      <c r="J22" s="49"/>
      <c r="K22" s="49"/>
      <c r="L22" s="49"/>
      <c r="M22" s="220"/>
    </row>
    <row r="23" spans="4:23" ht="15" customHeight="1" x14ac:dyDescent="0.2">
      <c r="G23" s="222"/>
      <c r="H23" s="49"/>
      <c r="I23" s="49"/>
      <c r="J23" s="49"/>
      <c r="K23" s="49"/>
      <c r="L23" s="49"/>
      <c r="M23" s="49"/>
    </row>
    <row r="24" spans="4:23" ht="15" customHeight="1" x14ac:dyDescent="0.2">
      <c r="D24" s="169" t="s">
        <v>1696</v>
      </c>
      <c r="G24" s="224">
        <v>10</v>
      </c>
      <c r="H24" s="170" t="str">
        <f>"g/cova de "&amp;W24&amp;" ou  3 L de esterco bovino."</f>
        <v>g/cova de 20-00-15 ou  3 L de esterco bovino.</v>
      </c>
      <c r="I24" s="49"/>
      <c r="J24" s="49"/>
      <c r="K24" s="49"/>
      <c r="L24" s="49"/>
      <c r="M24" s="49"/>
      <c r="W24" s="171" t="str">
        <f>IF(G14&lt;80,"20-00-30",IF(AND(G14&gt;=80,G14&lt;150),"20-00-20",IF(AND(G14&gt;=150,G14&lt;200),"20-00-15",IF(AND(G14&gt;=200,G14&lt;280),"20-00-10","Sulf. Amônio"))))</f>
        <v>20-00-15</v>
      </c>
    </row>
    <row r="25" spans="4:23" ht="15" customHeight="1" x14ac:dyDescent="0.2">
      <c r="G25" s="224" t="str">
        <f>IF(G13&lt;20,"100",IF(AND(G13&gt;=20,G13&lt;60),"80",IF(AND(G13&gt;=60,G13&lt;100),"50",0)))</f>
        <v>100</v>
      </c>
      <c r="H25" s="49" t="s">
        <v>1714</v>
      </c>
      <c r="I25" s="256"/>
      <c r="J25" s="325"/>
      <c r="K25" s="49"/>
      <c r="L25" s="49"/>
      <c r="M25" s="49"/>
    </row>
    <row r="26" spans="4:23" ht="15" customHeight="1" x14ac:dyDescent="0.2">
      <c r="G26" s="224">
        <v>5</v>
      </c>
      <c r="H26" s="49" t="s">
        <v>2166</v>
      </c>
      <c r="I26" s="171"/>
      <c r="J26" s="325"/>
      <c r="K26" s="26"/>
      <c r="L26" s="26"/>
      <c r="M26" s="49"/>
      <c r="P26" s="27"/>
    </row>
    <row r="27" spans="4:23" ht="15" customHeight="1" x14ac:dyDescent="0.2">
      <c r="G27" s="319"/>
      <c r="H27" s="49"/>
      <c r="I27" s="256"/>
      <c r="J27" s="49"/>
      <c r="K27" s="49"/>
      <c r="L27" s="49"/>
      <c r="M27" s="49"/>
    </row>
    <row r="28" spans="4:23" ht="15" customHeight="1" x14ac:dyDescent="0.2">
      <c r="D28" s="169" t="s">
        <v>342</v>
      </c>
      <c r="G28" s="224">
        <v>10</v>
      </c>
      <c r="H28" s="49" t="s">
        <v>372</v>
      </c>
      <c r="I28" s="222" t="str">
        <f>W24</f>
        <v>20-00-15</v>
      </c>
      <c r="J28" s="307" t="s">
        <v>1160</v>
      </c>
      <c r="K28" s="49"/>
      <c r="L28" s="49"/>
      <c r="M28" s="49"/>
    </row>
    <row r="29" spans="4:23" ht="15" customHeight="1" x14ac:dyDescent="0.2">
      <c r="G29" s="224">
        <v>20</v>
      </c>
      <c r="H29" s="49" t="s">
        <v>372</v>
      </c>
      <c r="I29" s="222" t="str">
        <f>W24</f>
        <v>20-00-15</v>
      </c>
      <c r="J29" s="307" t="s">
        <v>148</v>
      </c>
      <c r="K29" s="49"/>
      <c r="L29" s="49"/>
      <c r="M29" s="49"/>
    </row>
    <row r="30" spans="4:23" ht="15" customHeight="1" x14ac:dyDescent="0.2">
      <c r="G30" s="224"/>
      <c r="H30" s="49"/>
      <c r="I30" s="221"/>
      <c r="J30" s="307"/>
      <c r="K30" s="49"/>
      <c r="L30" s="49"/>
      <c r="M30" s="49"/>
    </row>
    <row r="31" spans="4:23" ht="15" customHeight="1" x14ac:dyDescent="0.2">
      <c r="I31" s="281"/>
      <c r="J31" s="308"/>
    </row>
    <row r="32" spans="4:23" ht="15" customHeight="1" x14ac:dyDescent="0.2">
      <c r="D32" s="169"/>
    </row>
    <row r="33" spans="2:16" ht="15" customHeight="1" x14ac:dyDescent="0.2">
      <c r="D33" s="169"/>
    </row>
    <row r="34" spans="2:16" ht="15" customHeight="1" x14ac:dyDescent="0.2">
      <c r="D34" s="213"/>
    </row>
    <row r="35" spans="2:16" ht="15" customHeight="1" x14ac:dyDescent="0.2">
      <c r="D35" s="213"/>
    </row>
    <row r="36" spans="2:16" ht="15" customHeight="1" x14ac:dyDescent="0.2"/>
    <row r="37" spans="2:16" ht="15" customHeight="1" x14ac:dyDescent="0.2"/>
    <row r="38" spans="2:16" ht="15" customHeight="1" x14ac:dyDescent="0.2">
      <c r="C38" s="27"/>
      <c r="P38" s="27"/>
    </row>
    <row r="39" spans="2:16" ht="15" customHeight="1" x14ac:dyDescent="0.2">
      <c r="C39" s="27"/>
      <c r="P39" s="27"/>
    </row>
    <row r="40" spans="2:16" s="60" customFormat="1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2:16" s="60" customFormat="1" ht="15" customHeight="1" x14ac:dyDescent="0.2">
      <c r="D41" s="267"/>
    </row>
    <row r="42" spans="2:16" s="60" customFormat="1" ht="15" hidden="1" customHeight="1" x14ac:dyDescent="0.2">
      <c r="D42" s="267"/>
    </row>
    <row r="43" spans="2:16" s="60" customFormat="1" ht="15" hidden="1" customHeight="1" x14ac:dyDescent="0.2">
      <c r="D43" s="267"/>
      <c r="H43" s="859"/>
      <c r="I43" s="859"/>
      <c r="J43" s="859"/>
      <c r="K43" s="859"/>
    </row>
    <row r="44" spans="2:16" s="60" customFormat="1" ht="15" hidden="1" customHeight="1" x14ac:dyDescent="0.2">
      <c r="B44" s="267"/>
    </row>
    <row r="45" spans="2:16" s="60" customFormat="1" ht="15" hidden="1" customHeight="1" x14ac:dyDescent="0.2">
      <c r="B45" s="267"/>
    </row>
    <row r="46" spans="2:16" s="60" customFormat="1" ht="15" hidden="1" customHeight="1" x14ac:dyDescent="0.2">
      <c r="B46" s="267"/>
    </row>
    <row r="47" spans="2:16" s="60" customFormat="1" ht="15" hidden="1" customHeight="1" x14ac:dyDescent="0.2">
      <c r="B47" s="267"/>
    </row>
    <row r="48" spans="2:16" s="60" customFormat="1" ht="15" hidden="1" customHeight="1" x14ac:dyDescent="0.2">
      <c r="B48" s="267"/>
      <c r="G48" s="33"/>
    </row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</sheetData>
  <sheetProtection algorithmName="SHA-512" hashValue="BF4HBajxCTNrMhTW/pFps8j0+hLtJv3GHy7RLSiVCtzaFkjnQOgpPYsrqvTJ94CEK8g3sYZRrTmfWhk/sQ18sA==" saltValue="7rjBIZr+CSrZZT7XfYHXBA==" spinCount="100000" sheet="1" objects="1" scenarios="1" selectLockedCells="1"/>
  <mergeCells count="4">
    <mergeCell ref="C6:N6"/>
    <mergeCell ref="H43:K43"/>
    <mergeCell ref="E8:M8"/>
    <mergeCell ref="E40:F4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5">
    <pageSetUpPr fitToPage="1"/>
  </sheetPr>
  <dimension ref="A1:P23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264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HYPERLINK("#"&amp;"'Figo1a2'!h1","Formação - 1 a 2 anos")</f>
        <v>Formação - 1 a 2 anos</v>
      </c>
      <c r="G10" s="711"/>
      <c r="H10" s="711"/>
      <c r="I10" s="711"/>
      <c r="J10" s="711"/>
    </row>
    <row r="11" spans="1:16" ht="24.95" customHeight="1" thickTop="1" thickBot="1" x14ac:dyDescent="0.25">
      <c r="F11" s="711" t="str">
        <f>HYPERLINK("#"&amp;"'Figo3a4'!h1","Formação - 3 a 4 anos")</f>
        <v>Formação - 3 a 4 anos</v>
      </c>
      <c r="G11" s="711"/>
      <c r="H11" s="711"/>
      <c r="I11" s="711"/>
      <c r="J11" s="711"/>
    </row>
    <row r="12" spans="1:16" ht="24.95" customHeight="1" thickTop="1" thickBot="1" x14ac:dyDescent="0.25">
      <c r="F12" s="711" t="str">
        <f>HYPERLINK("#"&amp;"'FigoProd'!h1","Produção (5° ano em diante)")</f>
        <v>Produção (5° ano em diante)</v>
      </c>
      <c r="G12" s="711"/>
      <c r="H12" s="711"/>
      <c r="I12" s="711"/>
      <c r="J12" s="711"/>
    </row>
    <row r="13" spans="1:16" ht="24.95" customHeight="1" thickTop="1" x14ac:dyDescent="0.2"/>
    <row r="14" spans="1:16" ht="24.95" customHeight="1" x14ac:dyDescent="0.2"/>
    <row r="15" spans="1:16" ht="15" hidden="1" customHeight="1" x14ac:dyDescent="0.2"/>
    <row r="16" spans="1:16" ht="15" hidden="1" customHeight="1" x14ac:dyDescent="0.2"/>
    <row r="17" ht="15" hidden="1" customHeight="1" x14ac:dyDescent="0.2"/>
    <row r="18" ht="15" hidden="1" customHeight="1" x14ac:dyDescent="0.2"/>
    <row r="19" ht="15" hidden="1" customHeight="1" x14ac:dyDescent="0.2"/>
    <row r="20" ht="15" hidden="1" customHeight="1" x14ac:dyDescent="0.2"/>
    <row r="21" ht="15" hidden="1" customHeight="1" x14ac:dyDescent="0.2"/>
    <row r="22" ht="15" hidden="1" customHeight="1" x14ac:dyDescent="0.2"/>
    <row r="23" ht="15" hidden="1" customHeight="1" x14ac:dyDescent="0.2"/>
  </sheetData>
  <sheetProtection algorithmName="SHA-512" hashValue="7/kc12/6mKUPboxTO/204pKl+T5ARcPlwpFvs/n+BCuHDnh6WFoEThTF2eNikU+3KzelyPDLWb1oeBBh2J09rg==" saltValue="1ZN0oxv0iCaFIl8DI7XgJw==" spinCount="100000" sheet="1" objects="1" scenarios="1"/>
  <mergeCells count="6">
    <mergeCell ref="F12:J12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7">
    <pageSetUpPr fitToPage="1"/>
  </sheetPr>
  <dimension ref="A1:Y54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5">
      <c r="D10" s="164" t="s">
        <v>1858</v>
      </c>
      <c r="E10" s="34"/>
      <c r="F10" s="34"/>
    </row>
    <row r="11" spans="1:16" ht="15" customHeight="1" x14ac:dyDescent="0.2">
      <c r="E11" s="49" t="s">
        <v>2245</v>
      </c>
    </row>
    <row r="12" spans="1:16" ht="15" customHeight="1" x14ac:dyDescent="0.2">
      <c r="E12" s="49" t="s">
        <v>2246</v>
      </c>
    </row>
    <row r="13" spans="1:16" ht="15" customHeight="1" x14ac:dyDescent="0.2">
      <c r="E13" s="49" t="s">
        <v>2247</v>
      </c>
    </row>
    <row r="14" spans="1:16" ht="15" customHeight="1" x14ac:dyDescent="0.2"/>
    <row r="15" spans="1:16" s="60" customFormat="1" ht="15" customHeight="1" x14ac:dyDescent="0.25">
      <c r="D15" s="164" t="s">
        <v>1940</v>
      </c>
      <c r="E15" s="34"/>
      <c r="F15" s="266"/>
      <c r="G15" s="266"/>
      <c r="H15" s="266"/>
      <c r="I15" s="266"/>
      <c r="J15" s="266"/>
      <c r="K15" s="266"/>
      <c r="L15" s="266"/>
      <c r="M15" s="266"/>
    </row>
    <row r="16" spans="1:16" s="60" customFormat="1" ht="15" customHeight="1" x14ac:dyDescent="0.2">
      <c r="D16" s="49" t="s">
        <v>1703</v>
      </c>
      <c r="G16" s="237">
        <v>4</v>
      </c>
      <c r="H16" s="49" t="s">
        <v>1953</v>
      </c>
      <c r="I16" s="266"/>
      <c r="J16" s="266"/>
      <c r="K16" s="49"/>
      <c r="L16" s="266"/>
      <c r="M16" s="266"/>
    </row>
    <row r="17" spans="4:25" s="60" customFormat="1" ht="15" customHeight="1" x14ac:dyDescent="0.2">
      <c r="D17" s="266"/>
      <c r="G17" s="237">
        <v>150</v>
      </c>
      <c r="H17" s="49" t="s">
        <v>1933</v>
      </c>
      <c r="I17" s="266"/>
      <c r="J17" s="266"/>
      <c r="K17" s="49"/>
      <c r="L17" s="266"/>
      <c r="M17" s="266"/>
    </row>
    <row r="18" spans="4:25" s="296" customFormat="1" ht="15" customHeight="1" x14ac:dyDescent="0.2">
      <c r="D18" s="27"/>
      <c r="G18" s="263"/>
      <c r="H18" s="26"/>
      <c r="I18" s="27"/>
      <c r="J18" s="27"/>
      <c r="K18" s="26"/>
      <c r="L18" s="27"/>
      <c r="M18" s="27"/>
    </row>
    <row r="19" spans="4:25" s="296" customFormat="1" ht="15" customHeight="1" x14ac:dyDescent="0.2">
      <c r="D19" s="27"/>
      <c r="F19" s="316" t="s">
        <v>2244</v>
      </c>
      <c r="G19" s="224">
        <f>W19*5</f>
        <v>300</v>
      </c>
      <c r="H19" s="292" t="s">
        <v>2235</v>
      </c>
      <c r="J19" s="27"/>
      <c r="K19" s="169"/>
      <c r="L19" s="27"/>
      <c r="M19" s="27"/>
      <c r="W19" s="325" t="str">
        <f>IF(G16&lt;10,"60",IF(AND(G16&gt;=10,G16&lt;20),"40",IF(AND(G16&gt;=20,G16&lt;50),"20",0)))</f>
        <v>60</v>
      </c>
      <c r="X19" s="26" t="s">
        <v>653</v>
      </c>
      <c r="Y19" s="292"/>
    </row>
    <row r="20" spans="4:25" s="296" customFormat="1" ht="15" customHeight="1" x14ac:dyDescent="0.2">
      <c r="D20" s="27"/>
      <c r="F20" s="226" t="s">
        <v>1139</v>
      </c>
      <c r="G20" s="276">
        <f>(W20*5)/3</f>
        <v>66.666666666666671</v>
      </c>
      <c r="H20" s="292" t="str">
        <f>"g/planta de "&amp;Y20&amp;"."</f>
        <v>g/planta de 20-00-15.</v>
      </c>
      <c r="J20" s="27"/>
      <c r="K20" s="277"/>
      <c r="L20" s="27"/>
      <c r="M20" s="27"/>
      <c r="W20" s="171">
        <v>40</v>
      </c>
      <c r="X20" s="26" t="s">
        <v>654</v>
      </c>
      <c r="Y20" s="292" t="str">
        <f>IF(G17&lt;80,"20-00-30",IF(AND(G17&gt;=80,G17&lt;150),"20-00-20",IF(AND(G17&gt;=150,G17&lt;200),"20-00-15",IF(AND(G17&gt;=200,G17&lt;280),"20-00-10","Sulf. Amônio"))))</f>
        <v>20-00-15</v>
      </c>
    </row>
    <row r="21" spans="4:25" s="296" customFormat="1" ht="15" customHeight="1" x14ac:dyDescent="0.2">
      <c r="D21" s="27"/>
      <c r="G21" s="263"/>
      <c r="H21" s="26"/>
      <c r="I21" s="27"/>
      <c r="J21" s="27"/>
      <c r="K21" s="26"/>
      <c r="L21" s="27"/>
      <c r="M21" s="27"/>
    </row>
    <row r="22" spans="4:25" s="296" customFormat="1" ht="15" customHeight="1" x14ac:dyDescent="0.25">
      <c r="D22" s="282" t="s">
        <v>1941</v>
      </c>
      <c r="G22" s="263"/>
      <c r="H22" s="26"/>
      <c r="I22" s="27"/>
      <c r="J22" s="27"/>
      <c r="K22" s="26"/>
      <c r="L22" s="27"/>
      <c r="M22" s="27"/>
    </row>
    <row r="23" spans="4:25" s="60" customFormat="1" ht="15" customHeight="1" x14ac:dyDescent="0.2">
      <c r="D23" s="49" t="s">
        <v>1703</v>
      </c>
      <c r="G23" s="237">
        <v>15</v>
      </c>
      <c r="H23" s="49" t="s">
        <v>1929</v>
      </c>
      <c r="I23" s="266"/>
      <c r="J23" s="266"/>
      <c r="K23" s="49"/>
      <c r="L23" s="266"/>
      <c r="M23" s="266"/>
    </row>
    <row r="24" spans="4:25" s="60" customFormat="1" ht="15" customHeight="1" x14ac:dyDescent="0.2">
      <c r="D24" s="266"/>
      <c r="G24" s="5">
        <v>8</v>
      </c>
      <c r="H24" s="49" t="s">
        <v>1934</v>
      </c>
      <c r="I24" s="266"/>
      <c r="J24" s="266"/>
      <c r="K24" s="49"/>
      <c r="L24" s="266"/>
      <c r="M24" s="266"/>
    </row>
    <row r="25" spans="4:25" s="60" customFormat="1" ht="15" customHeight="1" x14ac:dyDescent="0.2">
      <c r="D25" s="266"/>
      <c r="G25" s="263"/>
      <c r="H25" s="298"/>
      <c r="I25" s="266"/>
      <c r="J25" s="266"/>
      <c r="L25" s="266"/>
      <c r="M25" s="266"/>
    </row>
    <row r="26" spans="4:25" s="60" customFormat="1" ht="15" customHeight="1" x14ac:dyDescent="0.2">
      <c r="D26" s="273" t="s">
        <v>340</v>
      </c>
      <c r="G26" s="237">
        <v>80</v>
      </c>
      <c r="H26" s="49" t="s">
        <v>341</v>
      </c>
      <c r="I26" s="266"/>
      <c r="J26" s="266"/>
      <c r="K26" s="49"/>
      <c r="L26" s="266"/>
      <c r="M26" s="266"/>
    </row>
    <row r="27" spans="4:25" s="60" customFormat="1" ht="15" customHeight="1" x14ac:dyDescent="0.2">
      <c r="D27" s="266"/>
      <c r="G27" s="263"/>
      <c r="H27" s="49"/>
      <c r="I27" s="266"/>
      <c r="J27" s="266"/>
      <c r="K27" s="266"/>
      <c r="L27" s="266"/>
      <c r="M27" s="266"/>
    </row>
    <row r="28" spans="4:25" s="60" customFormat="1" ht="15" customHeight="1" x14ac:dyDescent="0.2">
      <c r="D28" s="273" t="s">
        <v>1708</v>
      </c>
      <c r="E28" s="283"/>
      <c r="F28" s="266"/>
      <c r="G28" s="220">
        <f>IF((G24*(60-G23)/G26)&gt;0,G24*(60-G23)/G26,0)</f>
        <v>4.5</v>
      </c>
      <c r="H28" s="273" t="s">
        <v>2248</v>
      </c>
      <c r="I28" s="266"/>
      <c r="J28" s="266"/>
      <c r="K28" s="266"/>
      <c r="L28" s="266"/>
      <c r="M28" s="266"/>
    </row>
    <row r="29" spans="4:25" s="60" customFormat="1" ht="15" customHeight="1" x14ac:dyDescent="0.2">
      <c r="H29" s="169"/>
      <c r="I29" s="266"/>
      <c r="J29" s="266"/>
      <c r="K29" s="266"/>
    </row>
    <row r="30" spans="4:25" ht="15" customHeight="1" x14ac:dyDescent="0.2">
      <c r="D30" s="275"/>
      <c r="E30" s="220"/>
      <c r="F30" s="280"/>
      <c r="G30" s="281"/>
      <c r="H30" s="281"/>
      <c r="I30" s="281"/>
      <c r="J30" s="281"/>
      <c r="K30" s="281"/>
      <c r="L30" s="281"/>
      <c r="N30" s="281"/>
    </row>
    <row r="31" spans="4:25" ht="15" customHeight="1" x14ac:dyDescent="0.2"/>
    <row r="32" spans="4:25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ht="15" customHeight="1" x14ac:dyDescent="0.2"/>
    <row r="38" spans="4:7" s="60" customFormat="1" ht="15" customHeight="1" x14ac:dyDescent="0.2">
      <c r="D38" s="226" t="s">
        <v>891</v>
      </c>
      <c r="E38" s="717">
        <f ca="1">TODAY()</f>
        <v>45064</v>
      </c>
      <c r="F38" s="714"/>
      <c r="G38" s="60" t="s">
        <v>373</v>
      </c>
    </row>
    <row r="39" spans="4:7" ht="15" customHeight="1" x14ac:dyDescent="0.2"/>
    <row r="40" spans="4:7" ht="15" hidden="1" customHeight="1" x14ac:dyDescent="0.2"/>
    <row r="41" spans="4:7" ht="15" hidden="1" customHeight="1" x14ac:dyDescent="0.2"/>
    <row r="42" spans="4:7" ht="15" hidden="1" customHeight="1" x14ac:dyDescent="0.2"/>
    <row r="43" spans="4:7" ht="15" hidden="1" customHeight="1" x14ac:dyDescent="0.2"/>
    <row r="44" spans="4:7" ht="15" hidden="1" customHeight="1" x14ac:dyDescent="0.2"/>
    <row r="45" spans="4:7" ht="15" hidden="1" customHeight="1" x14ac:dyDescent="0.2"/>
    <row r="46" spans="4:7" ht="15" hidden="1" customHeight="1" x14ac:dyDescent="0.2"/>
    <row r="47" spans="4:7" ht="15" hidden="1" customHeight="1" x14ac:dyDescent="0.2"/>
    <row r="48" spans="4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</sheetData>
  <sheetProtection algorithmName="SHA-512" hashValue="6l5aXqOlZqD92LgPipwVRfB1EGenyoAx3vHmWIM+dpZw23FxdsU/DJCvDbvUw7X5ngJqulasJ2B34i226eZm9w==" saltValue="h6M8b42fWToCyX54Z06tOQ==" spinCount="100000" sheet="1" objects="1" scenarios="1" selectLockedCells="1"/>
  <mergeCells count="3">
    <mergeCell ref="C6:N6"/>
    <mergeCell ref="E38:F38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8">
    <pageSetUpPr fitToPage="1"/>
  </sheetPr>
  <dimension ref="A1:Z53"/>
  <sheetViews>
    <sheetView showGridLines="0" showRowColHeaders="0" zoomScaleNormal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2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ht="24.95" customHeight="1" x14ac:dyDescent="0.2">
      <c r="C6" s="699" t="s">
        <v>2133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2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10" spans="1:26" s="60" customFormat="1" ht="15" customHeight="1" x14ac:dyDescent="0.25">
      <c r="D10" s="164" t="s">
        <v>1951</v>
      </c>
      <c r="E10" s="34"/>
      <c r="F10" s="266"/>
      <c r="G10" s="266"/>
      <c r="H10" s="266"/>
      <c r="I10" s="266"/>
      <c r="J10" s="266"/>
      <c r="K10" s="266"/>
      <c r="L10" s="266"/>
      <c r="M10" s="266"/>
    </row>
    <row r="11" spans="1:26" s="60" customFormat="1" ht="15" customHeight="1" x14ac:dyDescent="0.2">
      <c r="C11" s="298"/>
      <c r="D11" s="49" t="s">
        <v>1703</v>
      </c>
      <c r="E11" s="298"/>
      <c r="F11" s="298"/>
      <c r="G11" s="9">
        <v>8</v>
      </c>
      <c r="H11" s="49" t="s">
        <v>1953</v>
      </c>
      <c r="I11" s="49"/>
      <c r="J11" s="171"/>
      <c r="K11" s="49"/>
      <c r="L11" s="49"/>
      <c r="M11" s="49"/>
      <c r="N11" s="298"/>
      <c r="O11" s="298"/>
      <c r="P11" s="298"/>
    </row>
    <row r="12" spans="1:26" s="60" customFormat="1" ht="15" customHeight="1" x14ac:dyDescent="0.2">
      <c r="C12" s="298"/>
      <c r="D12" s="49"/>
      <c r="E12" s="298"/>
      <c r="F12" s="298"/>
      <c r="G12" s="9">
        <v>150</v>
      </c>
      <c r="H12" s="49" t="s">
        <v>1933</v>
      </c>
      <c r="I12" s="49"/>
      <c r="J12" s="49"/>
      <c r="K12" s="49"/>
      <c r="L12" s="49"/>
      <c r="M12" s="49"/>
      <c r="N12" s="298"/>
      <c r="O12" s="298"/>
      <c r="P12" s="298"/>
    </row>
    <row r="13" spans="1:26" s="60" customFormat="1" ht="15" customHeight="1" x14ac:dyDescent="0.2">
      <c r="C13" s="298"/>
      <c r="D13" s="49"/>
      <c r="E13" s="49"/>
      <c r="F13" s="49"/>
      <c r="G13" s="49"/>
      <c r="H13" s="26"/>
      <c r="I13" s="49"/>
      <c r="J13" s="49"/>
      <c r="K13" s="49"/>
      <c r="L13" s="49"/>
      <c r="M13" s="49"/>
      <c r="N13" s="298"/>
      <c r="O13" s="298"/>
      <c r="P13" s="298"/>
    </row>
    <row r="14" spans="1:26" s="60" customFormat="1" ht="15" customHeight="1" x14ac:dyDescent="0.2">
      <c r="C14" s="298"/>
      <c r="F14" s="316" t="s">
        <v>2244</v>
      </c>
      <c r="G14" s="224">
        <f>W14*5</f>
        <v>500</v>
      </c>
      <c r="H14" s="292" t="s">
        <v>2235</v>
      </c>
      <c r="I14" s="49"/>
      <c r="J14" s="49"/>
      <c r="K14" s="49"/>
      <c r="L14" s="298"/>
      <c r="W14" s="325" t="str">
        <f>IF(G11&lt;10,"100",IF(AND(G11&gt;=10,G11&lt;20),"60",IF(AND(G11&gt;=20,G11&lt;50),"40",0)))</f>
        <v>100</v>
      </c>
      <c r="X14" s="26" t="s">
        <v>653</v>
      </c>
      <c r="Y14" s="292"/>
      <c r="Z14" s="292"/>
    </row>
    <row r="15" spans="1:26" s="60" customFormat="1" ht="15" customHeight="1" x14ac:dyDescent="0.2">
      <c r="C15" s="298"/>
      <c r="F15" s="317" t="s">
        <v>1139</v>
      </c>
      <c r="G15" s="276">
        <f>(W15*5)/3</f>
        <v>133.33333333333334</v>
      </c>
      <c r="H15" s="292" t="str">
        <f>"g/planta de "&amp;Y15&amp;"."</f>
        <v>g/planta de 20-00-15.</v>
      </c>
      <c r="I15" s="49"/>
      <c r="J15" s="49"/>
      <c r="K15" s="49"/>
      <c r="L15" s="298"/>
      <c r="W15" s="171">
        <v>80</v>
      </c>
      <c r="X15" s="26" t="s">
        <v>654</v>
      </c>
      <c r="Y15" s="273" t="str">
        <f>IF(G12&lt;80,"20-00-30",IF(AND(G12&gt;=80,G12&lt;150),"20-00-20",IF(AND(G12&gt;=150,G12&lt;200),"20-00-15",IF(AND(G12&gt;=200,G12&lt;280),"20-00-10","Sulf. Amônio"))))</f>
        <v>20-00-15</v>
      </c>
      <c r="Z15" s="292"/>
    </row>
    <row r="16" spans="1:26" s="60" customFormat="1" ht="15" customHeight="1" x14ac:dyDescent="0.2">
      <c r="C16" s="298"/>
      <c r="D16" s="49"/>
      <c r="E16" s="49"/>
      <c r="F16" s="49"/>
      <c r="G16" s="49"/>
      <c r="H16" s="49"/>
      <c r="I16" s="325"/>
      <c r="J16" s="49"/>
      <c r="K16" s="49"/>
      <c r="L16" s="49"/>
      <c r="M16" s="49"/>
      <c r="N16" s="298"/>
      <c r="O16" s="298"/>
      <c r="P16" s="298"/>
    </row>
    <row r="17" spans="4:25" s="60" customFormat="1" ht="15" customHeight="1" x14ac:dyDescent="0.25">
      <c r="D17" s="164" t="s">
        <v>1952</v>
      </c>
      <c r="E17" s="34"/>
      <c r="F17" s="266"/>
      <c r="G17" s="266"/>
      <c r="H17" s="263"/>
      <c r="I17" s="263"/>
      <c r="J17" s="27"/>
      <c r="K17" s="27"/>
      <c r="L17" s="27"/>
      <c r="M17" s="266"/>
    </row>
    <row r="18" spans="4:25" s="60" customFormat="1" ht="15" customHeight="1" x14ac:dyDescent="0.2">
      <c r="D18" s="49" t="s">
        <v>1703</v>
      </c>
      <c r="E18" s="266"/>
      <c r="F18" s="266"/>
      <c r="G18" s="237">
        <v>5</v>
      </c>
      <c r="H18" s="49" t="s">
        <v>1953</v>
      </c>
      <c r="I18" s="263"/>
      <c r="J18" s="27"/>
      <c r="K18" s="27"/>
      <c r="L18" s="27"/>
      <c r="M18" s="266"/>
    </row>
    <row r="19" spans="4:25" s="60" customFormat="1" ht="15" customHeight="1" x14ac:dyDescent="0.2">
      <c r="F19" s="266"/>
      <c r="G19" s="237">
        <v>150</v>
      </c>
      <c r="H19" s="49" t="s">
        <v>1933</v>
      </c>
      <c r="I19" s="266"/>
      <c r="J19" s="266"/>
      <c r="K19" s="266"/>
      <c r="L19" s="266"/>
      <c r="M19" s="266"/>
    </row>
    <row r="20" spans="4:25" s="60" customFormat="1" ht="15" customHeight="1" x14ac:dyDescent="0.2">
      <c r="D20" s="266"/>
      <c r="F20" s="266"/>
      <c r="G20" s="271"/>
      <c r="H20" s="266"/>
      <c r="I20" s="266"/>
      <c r="J20" s="266"/>
      <c r="K20" s="266"/>
      <c r="L20" s="266"/>
      <c r="M20" s="266"/>
    </row>
    <row r="21" spans="4:25" s="60" customFormat="1" ht="15" customHeight="1" x14ac:dyDescent="0.2">
      <c r="D21" s="266"/>
      <c r="E21" s="266"/>
      <c r="F21" s="316" t="s">
        <v>2244</v>
      </c>
      <c r="G21" s="224">
        <f>W21*5</f>
        <v>750</v>
      </c>
      <c r="H21" s="292" t="s">
        <v>2235</v>
      </c>
      <c r="I21" s="266"/>
      <c r="J21" s="266"/>
      <c r="K21" s="266"/>
      <c r="L21" s="266"/>
      <c r="M21" s="266"/>
      <c r="W21" s="325" t="str">
        <f>IF(G18&lt;10,"150",IF(AND(G18&gt;=10,G18&lt;20),"100",IF(AND(G18&gt;=20,G18&lt;50),"50",0)))</f>
        <v>150</v>
      </c>
      <c r="X21" s="26" t="s">
        <v>653</v>
      </c>
      <c r="Y21" s="292"/>
    </row>
    <row r="22" spans="4:25" s="60" customFormat="1" ht="15" customHeight="1" x14ac:dyDescent="0.2">
      <c r="F22" s="226" t="s">
        <v>1139</v>
      </c>
      <c r="G22" s="276">
        <f>((W22*100)/20)/3</f>
        <v>200</v>
      </c>
      <c r="H22" s="292" t="str">
        <f>"g/planta de "&amp;Y22&amp;"."</f>
        <v>g/planta de 20-00-15.</v>
      </c>
      <c r="I22" s="266"/>
      <c r="J22" s="266"/>
      <c r="K22" s="266"/>
      <c r="W22" s="171">
        <v>120</v>
      </c>
      <c r="X22" s="26" t="s">
        <v>654</v>
      </c>
      <c r="Y22" s="273" t="str">
        <f>IF(G19&lt;80,"20-00-30",IF(AND(G19&gt;=80,G19&lt;150),"20-00-20",IF(AND(G19&gt;=150,G19&lt;200),"20-00-15",IF(AND(G19&gt;=200,G19&lt;280),"20-00-10","Sulf. Amônio"))))</f>
        <v>20-00-15</v>
      </c>
    </row>
    <row r="23" spans="4:25" s="60" customFormat="1" ht="15" customHeight="1" x14ac:dyDescent="0.2">
      <c r="F23" s="280"/>
      <c r="H23" s="266"/>
      <c r="I23" s="266"/>
      <c r="J23" s="266"/>
      <c r="K23" s="266"/>
    </row>
    <row r="24" spans="4:25" ht="15" customHeight="1" x14ac:dyDescent="0.25">
      <c r="D24" s="282" t="s">
        <v>1941</v>
      </c>
      <c r="E24" s="281"/>
      <c r="F24" s="281"/>
      <c r="G24" s="281"/>
      <c r="H24" s="283"/>
      <c r="I24" s="283"/>
      <c r="J24" s="283"/>
      <c r="K24" s="283"/>
      <c r="L24" s="281"/>
      <c r="M24" s="281"/>
    </row>
    <row r="25" spans="4:25" ht="15" customHeight="1" x14ac:dyDescent="0.2">
      <c r="D25" s="170" t="s">
        <v>1703</v>
      </c>
      <c r="E25" s="281"/>
      <c r="F25" s="281"/>
      <c r="G25" s="237">
        <v>20</v>
      </c>
      <c r="H25" s="49" t="s">
        <v>1929</v>
      </c>
      <c r="I25" s="283"/>
      <c r="J25" s="283"/>
      <c r="K25" s="283"/>
      <c r="L25" s="281"/>
      <c r="M25" s="281"/>
    </row>
    <row r="26" spans="4:25" ht="15" customHeight="1" x14ac:dyDescent="0.2">
      <c r="G26" s="5">
        <v>7</v>
      </c>
      <c r="H26" s="49" t="s">
        <v>1934</v>
      </c>
      <c r="I26" s="283"/>
      <c r="J26" s="283"/>
      <c r="K26" s="263"/>
    </row>
    <row r="27" spans="4:25" ht="15" customHeight="1" x14ac:dyDescent="0.2">
      <c r="D27" s="281"/>
      <c r="G27" s="281"/>
      <c r="H27" s="298"/>
      <c r="I27" s="272"/>
      <c r="J27" s="272"/>
      <c r="K27" s="272"/>
    </row>
    <row r="28" spans="4:25" ht="15" customHeight="1" x14ac:dyDescent="0.2">
      <c r="D28" s="273" t="s">
        <v>565</v>
      </c>
      <c r="G28" s="9">
        <v>90</v>
      </c>
      <c r="H28" s="49" t="s">
        <v>341</v>
      </c>
      <c r="I28" s="283"/>
      <c r="J28" s="283"/>
      <c r="K28" s="263"/>
      <c r="L28" s="213"/>
      <c r="M28" s="213"/>
    </row>
    <row r="29" spans="4:25" ht="15" customHeight="1" x14ac:dyDescent="0.2">
      <c r="E29" s="49"/>
      <c r="I29" s="281"/>
      <c r="J29" s="281"/>
      <c r="K29" s="281"/>
      <c r="L29" s="281"/>
      <c r="M29" s="281"/>
    </row>
    <row r="30" spans="4:25" ht="15" customHeight="1" x14ac:dyDescent="0.2">
      <c r="D30" s="273" t="s">
        <v>1708</v>
      </c>
      <c r="E30" s="273"/>
      <c r="G30" s="220">
        <f>IF((G26*(60-G25)/G28)&gt;0,G26*(60-G25)/G28,0)</f>
        <v>3.1111111111111112</v>
      </c>
      <c r="H30" s="273" t="s">
        <v>349</v>
      </c>
      <c r="I30" s="281"/>
      <c r="J30" s="281"/>
      <c r="K30" s="281"/>
      <c r="L30" s="281"/>
      <c r="M30" s="281"/>
    </row>
    <row r="31" spans="4:25" ht="15" customHeight="1" x14ac:dyDescent="0.2">
      <c r="D31" s="275"/>
      <c r="E31" s="220"/>
      <c r="F31" s="280"/>
      <c r="G31" s="281"/>
      <c r="H31" s="281"/>
      <c r="I31" s="281"/>
      <c r="J31" s="281"/>
      <c r="K31" s="281"/>
      <c r="L31" s="281"/>
      <c r="M31" s="281"/>
    </row>
    <row r="36" spans="2:7" ht="15" customHeight="1" x14ac:dyDescent="0.2">
      <c r="B36" s="60"/>
      <c r="C36" s="60"/>
      <c r="D36" s="60"/>
    </row>
    <row r="37" spans="2:7" ht="15" customHeight="1" x14ac:dyDescent="0.2">
      <c r="B37" s="60"/>
      <c r="C37" s="60"/>
      <c r="D37" s="60"/>
    </row>
    <row r="38" spans="2:7" ht="15" customHeight="1" x14ac:dyDescent="0.2">
      <c r="B38" s="60"/>
      <c r="C38" s="60"/>
      <c r="D38" s="60"/>
    </row>
    <row r="39" spans="2:7" ht="15" customHeight="1" x14ac:dyDescent="0.2">
      <c r="B39" s="60"/>
      <c r="C39" s="60"/>
      <c r="D39" s="60"/>
    </row>
    <row r="40" spans="2:7" ht="15" customHeight="1" x14ac:dyDescent="0.2">
      <c r="B40" s="60"/>
      <c r="C40" s="60"/>
      <c r="D40" s="226" t="s">
        <v>891</v>
      </c>
      <c r="E40" s="717">
        <f ca="1">TODAY()</f>
        <v>45064</v>
      </c>
      <c r="F40" s="714"/>
      <c r="G40" s="60" t="s">
        <v>373</v>
      </c>
    </row>
    <row r="41" spans="2:7" ht="15" customHeight="1" x14ac:dyDescent="0.2">
      <c r="B41" s="60"/>
      <c r="C41" s="60"/>
      <c r="D41" s="60"/>
    </row>
    <row r="42" spans="2:7" s="60" customFormat="1" ht="15" customHeight="1" x14ac:dyDescent="0.2"/>
    <row r="43" spans="2:7" s="60" customFormat="1" ht="15" customHeight="1" x14ac:dyDescent="0.2">
      <c r="B43" s="266"/>
      <c r="C43" s="266"/>
      <c r="D43" s="266"/>
    </row>
    <row r="44" spans="2:7" s="60" customFormat="1" ht="15" customHeight="1" x14ac:dyDescent="0.2">
      <c r="B44" s="266"/>
      <c r="C44" s="266"/>
      <c r="D44" s="266"/>
    </row>
    <row r="45" spans="2:7" s="60" customFormat="1" ht="15" customHeight="1" x14ac:dyDescent="0.2">
      <c r="B45" s="266"/>
      <c r="C45" s="266"/>
      <c r="D45" s="266"/>
    </row>
    <row r="46" spans="2:7" s="60" customFormat="1" ht="15" customHeight="1" x14ac:dyDescent="0.2">
      <c r="B46" s="266"/>
      <c r="C46" s="266"/>
      <c r="D46" s="266"/>
    </row>
    <row r="47" spans="2:7" s="60" customFormat="1" ht="15" customHeight="1" x14ac:dyDescent="0.2">
      <c r="B47" s="266"/>
      <c r="C47" s="266"/>
      <c r="D47" s="266"/>
    </row>
    <row r="48" spans="2:7" s="60" customFormat="1" ht="15" customHeight="1" x14ac:dyDescent="0.2">
      <c r="B48" s="266"/>
      <c r="C48" s="266"/>
      <c r="D48" s="266"/>
    </row>
    <row r="52" spans="4:11" ht="15" customHeight="1" x14ac:dyDescent="0.2">
      <c r="D52" s="60"/>
      <c r="E52" s="267"/>
      <c r="F52" s="267"/>
      <c r="G52" s="60"/>
      <c r="H52" s="60"/>
      <c r="I52" s="60"/>
      <c r="J52" s="60"/>
      <c r="K52" s="60"/>
    </row>
    <row r="53" spans="4:11" ht="15" customHeight="1" x14ac:dyDescent="0.2">
      <c r="D53" s="60"/>
      <c r="H53" s="60"/>
      <c r="I53" s="60"/>
      <c r="J53" s="60"/>
      <c r="K53" s="60"/>
    </row>
  </sheetData>
  <sheetProtection algorithmName="SHA-512" hashValue="2vT71Er/lT9ghUq3aQyTR9j8sPaBS7/MhZTbU06ocuCam+otfq6xDTWKYojUxmgI3rzX10jPAOLsDHNm253IGA==" saltValue="hxYc5GMsBNQqxlkTeIy7pQ==" spinCount="100000" sheet="1" objects="1" scenarios="1" selectLockedCells="1"/>
  <mergeCells count="3">
    <mergeCell ref="E40:F40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9">
    <pageSetUpPr fitToPage="1"/>
  </sheetPr>
  <dimension ref="A1:Y64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7" width="9.140625" style="266" hidden="1" customWidth="1"/>
    <col min="18" max="25" width="0" style="266" hidden="1" customWidth="1"/>
    <col min="26" max="16384" width="9.140625" style="266" hidden="1"/>
  </cols>
  <sheetData>
    <row r="1" spans="1:1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8" ht="24.95" customHeight="1" x14ac:dyDescent="0.2">
      <c r="C6" s="699" t="s">
        <v>2249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8" ht="15" customHeight="1" x14ac:dyDescent="0.2"/>
    <row r="8" spans="1:18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8" ht="15" customHeight="1" x14ac:dyDescent="0.2"/>
    <row r="10" spans="1:18" s="164" customFormat="1" ht="15" customHeight="1" x14ac:dyDescent="0.25">
      <c r="D10" s="322"/>
      <c r="E10" s="322"/>
      <c r="F10" s="322"/>
      <c r="G10" s="322"/>
      <c r="H10" s="322"/>
    </row>
    <row r="11" spans="1:18" ht="15" customHeight="1" x14ac:dyDescent="0.2">
      <c r="C11" s="49"/>
      <c r="D11" s="49" t="s">
        <v>671</v>
      </c>
      <c r="E11" s="49"/>
      <c r="F11" s="49"/>
      <c r="G11" s="9">
        <v>3.5</v>
      </c>
      <c r="H11" s="298" t="s">
        <v>2070</v>
      </c>
      <c r="I11" s="9">
        <v>2</v>
      </c>
      <c r="J11" s="298" t="s">
        <v>2069</v>
      </c>
      <c r="K11" s="658">
        <f>10000/(G11*I11)</f>
        <v>1428.5714285714287</v>
      </c>
      <c r="L11" s="170" t="s">
        <v>353</v>
      </c>
      <c r="M11" s="49"/>
      <c r="N11" s="49"/>
      <c r="O11" s="49"/>
      <c r="P11" s="49"/>
      <c r="Q11" s="49"/>
      <c r="R11" s="49"/>
    </row>
    <row r="12" spans="1:18" ht="15" customHeight="1" x14ac:dyDescent="0.2">
      <c r="C12" s="49"/>
      <c r="D12" s="49" t="s">
        <v>655</v>
      </c>
      <c r="E12" s="49"/>
      <c r="F12" s="298"/>
      <c r="G12" s="9">
        <v>15</v>
      </c>
      <c r="H12" s="49" t="s">
        <v>349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</row>
    <row r="13" spans="1:18" ht="15" customHeight="1" x14ac:dyDescent="0.2"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1:18" ht="15" customHeight="1" x14ac:dyDescent="0.2">
      <c r="C14" s="49"/>
      <c r="D14" s="49" t="s">
        <v>1703</v>
      </c>
      <c r="E14" s="49"/>
      <c r="F14" s="49"/>
      <c r="G14" s="9">
        <v>5</v>
      </c>
      <c r="H14" s="49" t="s">
        <v>1953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</row>
    <row r="15" spans="1:18" s="60" customFormat="1" ht="15" customHeight="1" x14ac:dyDescent="0.2">
      <c r="C15" s="298"/>
      <c r="D15" s="298"/>
      <c r="E15" s="49"/>
      <c r="F15" s="49"/>
      <c r="G15" s="9">
        <v>150</v>
      </c>
      <c r="H15" s="49" t="s">
        <v>1933</v>
      </c>
      <c r="I15" s="171"/>
      <c r="J15" s="26"/>
      <c r="K15" s="26"/>
      <c r="L15" s="26"/>
      <c r="M15" s="49"/>
      <c r="N15" s="298"/>
      <c r="O15" s="298"/>
      <c r="P15" s="298"/>
      <c r="Q15" s="298"/>
      <c r="R15" s="298"/>
    </row>
    <row r="16" spans="1:18" s="60" customFormat="1" ht="15" customHeight="1" x14ac:dyDescent="0.2">
      <c r="C16" s="298"/>
      <c r="D16" s="49"/>
      <c r="E16" s="49"/>
      <c r="F16" s="49"/>
      <c r="G16" s="237">
        <v>20</v>
      </c>
      <c r="H16" s="275" t="s">
        <v>1929</v>
      </c>
      <c r="I16" s="171"/>
      <c r="J16" s="26"/>
      <c r="K16" s="26"/>
      <c r="L16" s="26"/>
      <c r="M16" s="49"/>
      <c r="N16" s="298"/>
      <c r="O16" s="298"/>
      <c r="P16" s="298"/>
      <c r="Q16" s="298"/>
      <c r="R16" s="298"/>
    </row>
    <row r="17" spans="3:25" s="60" customFormat="1" ht="15" customHeight="1" x14ac:dyDescent="0.2">
      <c r="C17" s="298"/>
      <c r="D17" s="298"/>
      <c r="E17" s="298"/>
      <c r="F17" s="298"/>
      <c r="G17" s="5">
        <v>7</v>
      </c>
      <c r="H17" s="283" t="s">
        <v>1934</v>
      </c>
      <c r="I17" s="49"/>
      <c r="J17" s="49"/>
      <c r="K17" s="49"/>
      <c r="L17" s="49"/>
      <c r="M17" s="49"/>
      <c r="N17" s="298"/>
      <c r="O17" s="298"/>
      <c r="P17" s="298"/>
      <c r="Q17" s="298"/>
      <c r="R17" s="298"/>
    </row>
    <row r="18" spans="3:25" s="60" customFormat="1" ht="15" customHeight="1" x14ac:dyDescent="0.2">
      <c r="C18" s="298"/>
      <c r="D18" s="49"/>
      <c r="E18" s="298"/>
      <c r="F18" s="298"/>
      <c r="G18" s="49"/>
      <c r="I18" s="49"/>
      <c r="J18" s="49"/>
      <c r="K18" s="49"/>
      <c r="L18" s="49"/>
      <c r="M18" s="49"/>
      <c r="N18" s="298"/>
      <c r="O18" s="298"/>
      <c r="P18" s="298"/>
      <c r="Q18" s="298"/>
      <c r="R18" s="298"/>
    </row>
    <row r="19" spans="3:25" s="60" customFormat="1" ht="15" customHeight="1" x14ac:dyDescent="0.2">
      <c r="C19" s="298"/>
      <c r="D19" s="273" t="s">
        <v>340</v>
      </c>
      <c r="E19" s="171"/>
      <c r="F19" s="49"/>
      <c r="G19" s="237">
        <v>90</v>
      </c>
      <c r="H19" s="26" t="s">
        <v>341</v>
      </c>
      <c r="I19" s="49"/>
      <c r="J19" s="49"/>
      <c r="K19" s="49"/>
      <c r="L19" s="49"/>
      <c r="M19" s="49"/>
      <c r="N19" s="298"/>
      <c r="O19" s="298"/>
      <c r="P19" s="298"/>
      <c r="Q19" s="298"/>
      <c r="R19" s="298"/>
    </row>
    <row r="20" spans="3:25" s="60" customFormat="1" ht="15" customHeight="1" x14ac:dyDescent="0.2">
      <c r="I20" s="266"/>
      <c r="J20" s="266"/>
      <c r="K20" s="266"/>
      <c r="L20" s="266"/>
      <c r="M20" s="266"/>
    </row>
    <row r="21" spans="3:25" s="60" customFormat="1" ht="15" customHeight="1" x14ac:dyDescent="0.25">
      <c r="D21" s="326" t="s">
        <v>350</v>
      </c>
      <c r="I21" s="266"/>
      <c r="J21" s="266"/>
      <c r="K21" s="266"/>
      <c r="L21" s="266"/>
      <c r="M21" s="266"/>
    </row>
    <row r="22" spans="3:25" s="60" customFormat="1" ht="15" customHeight="1" x14ac:dyDescent="0.2">
      <c r="D22" s="222" t="s">
        <v>573</v>
      </c>
      <c r="I22" s="266"/>
      <c r="J22" s="266"/>
      <c r="K22" s="266"/>
      <c r="L22" s="266"/>
      <c r="M22" s="266"/>
    </row>
    <row r="23" spans="3:25" s="60" customFormat="1" ht="15" customHeight="1" x14ac:dyDescent="0.2">
      <c r="D23" s="273" t="s">
        <v>1708</v>
      </c>
      <c r="E23" s="283"/>
      <c r="G23" s="220">
        <f>IF((G17*(60-G16)/G19)&gt;0,G17*(60-G16)/G19,0)</f>
        <v>3.1111111111111112</v>
      </c>
      <c r="H23" s="273" t="s">
        <v>349</v>
      </c>
      <c r="I23" s="266"/>
      <c r="J23" s="266"/>
      <c r="K23" s="266"/>
      <c r="L23" s="266"/>
      <c r="M23" s="266"/>
    </row>
    <row r="24" spans="3:25" s="60" customFormat="1" ht="15" customHeight="1" x14ac:dyDescent="0.2"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3:25" s="60" customFormat="1" ht="15" customHeight="1" x14ac:dyDescent="0.2">
      <c r="D25" s="320" t="s">
        <v>2062</v>
      </c>
      <c r="E25" s="266"/>
      <c r="F25" s="266"/>
      <c r="G25" s="266"/>
      <c r="H25" s="266"/>
      <c r="I25" s="266"/>
      <c r="J25" s="266"/>
      <c r="K25" s="266"/>
      <c r="L25" s="266"/>
      <c r="M25" s="266"/>
    </row>
    <row r="26" spans="3:25" ht="15" customHeight="1" x14ac:dyDescent="0.2">
      <c r="F26" s="225" t="s">
        <v>637</v>
      </c>
      <c r="G26" s="224">
        <f>1000*((W26*5)/K11)</f>
        <v>524.99999999999989</v>
      </c>
      <c r="H26" s="292" t="s">
        <v>2235</v>
      </c>
      <c r="I26" s="169"/>
      <c r="W26" s="325" t="str">
        <f>IF(G14&lt;10,"150",IF(AND(G14&gt;=10,G14&lt;20),"100",IF(AND(G14&gt;=20,G14&lt;50),"50",0)))</f>
        <v>150</v>
      </c>
      <c r="X26" s="26" t="s">
        <v>651</v>
      </c>
      <c r="Y26" s="26"/>
    </row>
    <row r="27" spans="3:25" ht="15" customHeight="1" x14ac:dyDescent="0.2">
      <c r="F27" s="226" t="s">
        <v>1139</v>
      </c>
      <c r="G27" s="276">
        <f>1000*((W27*5)/K11)/3</f>
        <v>245</v>
      </c>
      <c r="H27" s="292" t="str">
        <f>"g/planta de "&amp;Y27&amp;"."</f>
        <v>g/planta de 20-00-15.</v>
      </c>
      <c r="W27" s="171">
        <f>IF(G12&lt;10,140,IF(AND(G12&gt;=10,G12&lt;20),210,280))</f>
        <v>210</v>
      </c>
      <c r="X27" s="26" t="s">
        <v>652</v>
      </c>
      <c r="Y27" s="273" t="str">
        <f>IF(G15&lt;80,"20-00-30",IF(AND(G15&gt;=80,G15&lt;150),"20-00-20",IF(AND(G15&gt;=150,G15&lt;200),"20-00-15",IF(AND(G15&gt;=200,G15&lt;280),"20-00-10","Sulf. Amônio"))))</f>
        <v>20-00-15</v>
      </c>
    </row>
    <row r="28" spans="3:25" ht="15" customHeight="1" x14ac:dyDescent="0.2">
      <c r="I28" s="279"/>
    </row>
    <row r="29" spans="3:25" ht="15" customHeight="1" x14ac:dyDescent="0.2"/>
    <row r="30" spans="3:25" ht="15" customHeight="1" x14ac:dyDescent="0.2"/>
    <row r="31" spans="3:25" ht="15" customHeight="1" x14ac:dyDescent="0.2"/>
    <row r="32" spans="3:25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ht="15" customHeight="1" x14ac:dyDescent="0.2">
      <c r="D37" s="226" t="s">
        <v>891</v>
      </c>
      <c r="E37" s="717">
        <f ca="1">TODAY()</f>
        <v>45064</v>
      </c>
      <c r="F37" s="714"/>
      <c r="G37" s="60" t="s">
        <v>373</v>
      </c>
    </row>
    <row r="38" spans="4:7" ht="15" customHeight="1" x14ac:dyDescent="0.2"/>
    <row r="39" spans="4:7" ht="15" hidden="1" customHeight="1" x14ac:dyDescent="0.2"/>
    <row r="40" spans="4:7" ht="15" hidden="1" customHeight="1" x14ac:dyDescent="0.2"/>
    <row r="41" spans="4:7" s="60" customFormat="1" ht="15" hidden="1" customHeight="1" x14ac:dyDescent="0.2"/>
    <row r="42" spans="4:7" s="60" customFormat="1" ht="15" hidden="1" customHeight="1" x14ac:dyDescent="0.2"/>
    <row r="43" spans="4:7" s="60" customFormat="1" ht="15" hidden="1" customHeight="1" x14ac:dyDescent="0.2"/>
    <row r="44" spans="4:7" s="60" customFormat="1" ht="15" hidden="1" customHeight="1" x14ac:dyDescent="0.2"/>
    <row r="45" spans="4:7" s="60" customFormat="1" ht="15" hidden="1" customHeight="1" x14ac:dyDescent="0.2"/>
    <row r="46" spans="4:7" s="60" customFormat="1" ht="15" hidden="1" customHeight="1" x14ac:dyDescent="0.2"/>
    <row r="47" spans="4:7" s="60" customFormat="1" ht="15" hidden="1" customHeight="1" x14ac:dyDescent="0.2"/>
    <row r="48" spans="4:7" s="60" customFormat="1" ht="15" hidden="1" customHeight="1" x14ac:dyDescent="0.2"/>
    <row r="49" s="60" customFormat="1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</sheetData>
  <sheetProtection algorithmName="SHA-512" hashValue="71k45cB018f3WSLJLht0rb8MrBGnfzOxkz9FIC3ZkluN+SjQzi9MrjgaObCrJbqdOYlhSHXYqJxA+VqzlazOdg==" saltValue="mrJu8c7Tus8OAWzxHgrr8Q==" spinCount="100000" sheet="1" objects="1" scenarios="1" selectLockedCells="1"/>
  <mergeCells count="3">
    <mergeCell ref="E37:F37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colBreaks count="1" manualBreakCount="1">
    <brk id="12" max="1048575" man="1"/>
  </col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5">
    <pageSetUpPr fitToPage="1"/>
  </sheetPr>
  <dimension ref="A1:W6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16" ht="15" customHeight="1" x14ac:dyDescent="0.2">
      <c r="C8" s="27"/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>
      <c r="C9" s="27"/>
      <c r="D9" s="27"/>
      <c r="E9" s="27"/>
      <c r="F9" s="27"/>
      <c r="G9" s="27"/>
      <c r="H9" s="27"/>
      <c r="I9" s="27"/>
      <c r="J9" s="27"/>
      <c r="K9" s="27"/>
    </row>
    <row r="10" spans="1:16" ht="15" customHeight="1" x14ac:dyDescent="0.2">
      <c r="C10" s="27"/>
      <c r="D10" s="27"/>
      <c r="E10" s="27"/>
      <c r="F10" s="27"/>
      <c r="G10" s="27"/>
      <c r="H10" s="27"/>
      <c r="I10" s="27"/>
      <c r="J10" s="27"/>
      <c r="K10" s="27"/>
    </row>
    <row r="11" spans="1:16" ht="15" customHeight="1" x14ac:dyDescent="0.2">
      <c r="C11" s="27"/>
      <c r="D11" s="27" t="s">
        <v>1208</v>
      </c>
      <c r="E11" s="27"/>
      <c r="G11" s="9">
        <v>1</v>
      </c>
      <c r="H11" s="292" t="s">
        <v>2070</v>
      </c>
      <c r="I11" s="9">
        <v>0.4</v>
      </c>
      <c r="J11" s="292" t="s">
        <v>2069</v>
      </c>
      <c r="K11" s="527">
        <f>10000/(G11*I11)</f>
        <v>25000</v>
      </c>
      <c r="L11" s="26" t="s">
        <v>353</v>
      </c>
    </row>
    <row r="12" spans="1:16" ht="15" customHeight="1" x14ac:dyDescent="0.2">
      <c r="C12" s="27"/>
      <c r="D12" s="27"/>
      <c r="E12" s="27"/>
      <c r="G12" s="263"/>
      <c r="H12" s="306"/>
      <c r="I12" s="306"/>
      <c r="J12" s="27"/>
      <c r="K12" s="27"/>
      <c r="L12" s="27"/>
    </row>
    <row r="13" spans="1:16" ht="15" customHeight="1" x14ac:dyDescent="0.2">
      <c r="C13" s="27"/>
      <c r="D13" s="26" t="s">
        <v>1703</v>
      </c>
      <c r="E13" s="27"/>
      <c r="G13" s="237">
        <v>5</v>
      </c>
      <c r="H13" s="49" t="s">
        <v>1953</v>
      </c>
      <c r="I13" s="306"/>
      <c r="J13" s="27"/>
      <c r="K13" s="27"/>
      <c r="L13" s="27"/>
    </row>
    <row r="14" spans="1:16" ht="15" customHeight="1" x14ac:dyDescent="0.2">
      <c r="C14" s="27"/>
      <c r="D14" s="27"/>
      <c r="E14" s="27"/>
      <c r="G14" s="237">
        <v>60</v>
      </c>
      <c r="H14" s="49" t="s">
        <v>1933</v>
      </c>
      <c r="I14" s="306"/>
      <c r="J14" s="27"/>
      <c r="K14" s="27"/>
      <c r="L14" s="27"/>
    </row>
    <row r="15" spans="1:16" ht="15" customHeight="1" x14ac:dyDescent="0.2">
      <c r="C15" s="27"/>
      <c r="D15" s="27"/>
      <c r="E15" s="27"/>
      <c r="G15" s="237">
        <v>10</v>
      </c>
      <c r="H15" s="49" t="s">
        <v>1934</v>
      </c>
      <c r="I15" s="306"/>
      <c r="J15" s="27"/>
      <c r="K15" s="27"/>
      <c r="L15" s="27"/>
    </row>
    <row r="16" spans="1:16" ht="15" customHeight="1" x14ac:dyDescent="0.2">
      <c r="C16" s="27"/>
      <c r="D16" s="27"/>
      <c r="E16" s="27"/>
      <c r="G16" s="237">
        <v>20</v>
      </c>
      <c r="H16" s="49" t="s">
        <v>1929</v>
      </c>
      <c r="I16" s="306"/>
      <c r="J16" s="27"/>
      <c r="K16" s="27"/>
      <c r="L16" s="27"/>
    </row>
    <row r="17" spans="3:23" ht="15" customHeight="1" x14ac:dyDescent="0.2">
      <c r="C17" s="27"/>
      <c r="D17" s="27"/>
      <c r="E17" s="27"/>
      <c r="G17" s="263"/>
      <c r="H17" s="49"/>
      <c r="I17" s="306"/>
      <c r="J17" s="27"/>
      <c r="K17" s="27"/>
      <c r="L17" s="27"/>
    </row>
    <row r="18" spans="3:23" ht="15" customHeight="1" x14ac:dyDescent="0.2">
      <c r="C18" s="27"/>
      <c r="D18" s="27" t="s">
        <v>340</v>
      </c>
      <c r="E18" s="27"/>
      <c r="G18" s="237">
        <v>60</v>
      </c>
      <c r="H18" s="49" t="s">
        <v>341</v>
      </c>
      <c r="I18" s="306"/>
      <c r="J18" s="27"/>
      <c r="K18" s="27"/>
      <c r="L18" s="27"/>
    </row>
    <row r="19" spans="3:23" ht="15" customHeight="1" x14ac:dyDescent="0.2">
      <c r="C19" s="27"/>
      <c r="D19" s="27"/>
      <c r="E19" s="27"/>
      <c r="F19" s="263"/>
      <c r="G19" s="27"/>
      <c r="H19" s="27"/>
      <c r="I19" s="27"/>
      <c r="J19" s="27"/>
      <c r="K19" s="27"/>
      <c r="N19" s="27"/>
    </row>
    <row r="20" spans="3:23" ht="1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N20" s="27"/>
    </row>
    <row r="21" spans="3:23" ht="15" customHeight="1" x14ac:dyDescent="0.25">
      <c r="C21" s="27"/>
      <c r="D21" s="326" t="s">
        <v>350</v>
      </c>
      <c r="E21" s="326"/>
      <c r="F21" s="326"/>
      <c r="G21" s="326"/>
      <c r="H21" s="326"/>
      <c r="I21" s="27"/>
      <c r="J21" s="27"/>
      <c r="K21" s="27"/>
      <c r="N21" s="27"/>
    </row>
    <row r="22" spans="3:23" ht="15" customHeight="1" x14ac:dyDescent="0.25">
      <c r="C22" s="27"/>
      <c r="D22" s="222" t="s">
        <v>573</v>
      </c>
      <c r="E22" s="476"/>
      <c r="F22" s="476"/>
      <c r="G22" s="476"/>
      <c r="H22" s="27"/>
      <c r="I22" s="27"/>
      <c r="J22" s="27"/>
      <c r="K22" s="27"/>
      <c r="N22" s="27"/>
    </row>
    <row r="23" spans="3:23" s="213" customFormat="1" ht="15" customHeight="1" x14ac:dyDescent="0.2">
      <c r="C23" s="304"/>
      <c r="D23" s="292" t="s">
        <v>1708</v>
      </c>
      <c r="E23" s="267"/>
      <c r="G23" s="286">
        <f>IF((G15*(60-G16)/G18)&gt;0,G15*(60-G16)/G18,0)</f>
        <v>6.666666666666667</v>
      </c>
      <c r="H23" s="657" t="s">
        <v>349</v>
      </c>
      <c r="I23" s="304"/>
      <c r="J23" s="304"/>
      <c r="K23" s="304"/>
      <c r="L23" s="220"/>
      <c r="N23" s="304"/>
    </row>
    <row r="24" spans="3:23" ht="15" customHeight="1" x14ac:dyDescent="0.2">
      <c r="C24" s="27"/>
      <c r="D24" s="27"/>
      <c r="E24" s="27"/>
      <c r="F24" s="222"/>
      <c r="G24" s="27"/>
      <c r="H24" s="26"/>
      <c r="I24" s="27"/>
      <c r="J24" s="27"/>
      <c r="K24" s="27"/>
      <c r="N24" s="27"/>
    </row>
    <row r="25" spans="3:23" ht="15" customHeight="1" x14ac:dyDescent="0.2">
      <c r="C25" s="27"/>
      <c r="D25" s="221" t="s">
        <v>1702</v>
      </c>
      <c r="E25" s="27"/>
      <c r="G25" s="257">
        <v>3</v>
      </c>
      <c r="H25" s="49" t="s">
        <v>2182</v>
      </c>
      <c r="J25" s="306"/>
      <c r="K25" s="27"/>
      <c r="L25" s="208"/>
      <c r="M25" s="27"/>
      <c r="N25" s="263"/>
      <c r="O25" s="27"/>
      <c r="P25" s="27"/>
    </row>
    <row r="26" spans="3:23" ht="15" customHeight="1" x14ac:dyDescent="0.2">
      <c r="C26" s="27"/>
      <c r="D26" s="27"/>
      <c r="E26" s="27"/>
      <c r="G26" s="224" t="str">
        <f>IF(G13&lt;20,"200",IF(AND(G13&gt;=20,G13&lt;60),"150",IF(AND(G13&gt;=60,G13&lt;100),"100",IF(AND(G13&gt;=100,G13&lt;150),"80",0))))</f>
        <v>200</v>
      </c>
      <c r="H26" s="26" t="s">
        <v>2183</v>
      </c>
      <c r="I26" s="218"/>
      <c r="J26" s="306"/>
      <c r="K26" s="306"/>
      <c r="L26" s="263"/>
      <c r="M26" s="27"/>
      <c r="N26" s="263"/>
    </row>
    <row r="27" spans="3:23" ht="15" customHeight="1" x14ac:dyDescent="0.2">
      <c r="C27" s="27"/>
      <c r="D27" s="27"/>
      <c r="E27" s="27"/>
      <c r="G27" s="224">
        <v>5</v>
      </c>
      <c r="H27" s="26" t="s">
        <v>2184</v>
      </c>
      <c r="I27" s="218"/>
      <c r="K27" s="27"/>
      <c r="L27" s="263"/>
      <c r="M27" s="27"/>
      <c r="N27" s="263"/>
      <c r="O27" s="27"/>
      <c r="P27" s="27"/>
      <c r="Q27" s="27"/>
    </row>
    <row r="28" spans="3:23" ht="15" customHeight="1" x14ac:dyDescent="0.2">
      <c r="C28" s="27"/>
      <c r="D28" s="27"/>
      <c r="E28" s="27"/>
      <c r="F28" s="221"/>
      <c r="G28" s="27"/>
      <c r="H28" s="26"/>
      <c r="I28" s="27"/>
      <c r="J28" s="27"/>
      <c r="K28" s="27"/>
      <c r="N28" s="263"/>
      <c r="O28" s="27"/>
      <c r="P28" s="27"/>
    </row>
    <row r="29" spans="3:23" ht="15" customHeight="1" x14ac:dyDescent="0.2">
      <c r="C29" s="27"/>
      <c r="D29" s="27" t="s">
        <v>342</v>
      </c>
      <c r="E29" s="27"/>
      <c r="F29" s="289"/>
      <c r="G29" s="224">
        <v>25</v>
      </c>
      <c r="H29" s="273" t="str">
        <f>"g/m de "&amp;W29&amp;" aos 60 dias do plantio."</f>
        <v>g/m de 20-00-30 aos 60 dias do plantio.</v>
      </c>
      <c r="I29" s="218"/>
      <c r="J29" s="27"/>
      <c r="K29" s="27"/>
      <c r="N29" s="263"/>
      <c r="W29" s="292" t="str">
        <f>IF(G14&lt;80,"20-00-30",IF(AND(G14&gt;=80,G14&lt;150),"20-00-20",IF(AND(G14&gt;=150,G14&lt;200),"20-00-15",IF(AND(G14&gt;=200,G14&lt;280),"20-00-10","Sulf. Amônio"))))</f>
        <v>20-00-30</v>
      </c>
    </row>
    <row r="30" spans="3:23" ht="15" customHeight="1" x14ac:dyDescent="0.2">
      <c r="C30" s="27"/>
      <c r="D30" s="26" t="s">
        <v>2185</v>
      </c>
      <c r="E30" s="27"/>
      <c r="G30" s="224">
        <v>30</v>
      </c>
      <c r="H30" s="273" t="str">
        <f>"g/m de "&amp;W29&amp;" aos 90 dias do plantio."</f>
        <v>g/m de 20-00-30 aos 90 dias do plantio.</v>
      </c>
      <c r="I30" s="348"/>
      <c r="J30" s="27"/>
      <c r="K30" s="27"/>
      <c r="O30" s="27"/>
    </row>
    <row r="31" spans="3:23" ht="15" customHeight="1" x14ac:dyDescent="0.2">
      <c r="C31" s="27"/>
      <c r="E31" s="27"/>
      <c r="F31" s="27"/>
      <c r="G31" s="224">
        <v>35</v>
      </c>
      <c r="H31" s="273" t="str">
        <f>"g/m de "&amp;W31&amp;" aos 120 dias do plantio."</f>
        <v>g/m de 10-00-30 aos 120 dias do plantio.</v>
      </c>
      <c r="I31" s="333"/>
      <c r="J31" s="27"/>
      <c r="K31" s="27"/>
      <c r="N31" s="27"/>
      <c r="O31" s="27"/>
      <c r="W31" s="292" t="str">
        <f>IF(G14&lt;80,"10-00-30",IF(AND(G14&gt;=80,G14&lt;150),"10-00-20",IF(AND(G14&gt;=150,G14&lt;200),"10-00-15",IF(AND(G14&gt;=200,G14&lt;280),"10-00-10","10-00-10"))))</f>
        <v>10-00-30</v>
      </c>
    </row>
    <row r="32" spans="3:23" ht="15" customHeight="1" x14ac:dyDescent="0.2">
      <c r="C32" s="27"/>
      <c r="D32" s="27"/>
      <c r="E32" s="27"/>
      <c r="I32" s="333"/>
      <c r="J32" s="27"/>
      <c r="K32" s="27"/>
      <c r="N32" s="27"/>
      <c r="O32" s="27"/>
    </row>
    <row r="33" spans="3:15" ht="15" customHeight="1" x14ac:dyDescent="0.2">
      <c r="C33" s="27"/>
      <c r="D33" s="27"/>
      <c r="E33" s="27"/>
      <c r="F33" s="27"/>
      <c r="G33" s="27"/>
      <c r="H33" s="283"/>
      <c r="I33" s="333"/>
      <c r="J33" s="27"/>
      <c r="K33" s="27"/>
      <c r="N33" s="27"/>
      <c r="O33" s="27"/>
    </row>
    <row r="34" spans="3:15" ht="15" customHeight="1" x14ac:dyDescent="0.2">
      <c r="C34" s="27"/>
      <c r="D34" s="27"/>
      <c r="E34" s="27"/>
      <c r="G34" s="275"/>
      <c r="I34" s="333"/>
      <c r="J34" s="27"/>
      <c r="K34" s="27"/>
      <c r="N34" s="263"/>
      <c r="O34" s="27"/>
    </row>
    <row r="35" spans="3:15" ht="15" customHeight="1" x14ac:dyDescent="0.2">
      <c r="C35" s="27"/>
      <c r="D35" s="27"/>
      <c r="E35" s="27"/>
      <c r="F35" s="224"/>
      <c r="G35" s="275"/>
      <c r="H35" s="221"/>
      <c r="I35" s="333"/>
      <c r="J35" s="27"/>
      <c r="K35" s="27"/>
      <c r="N35" s="263"/>
      <c r="O35" s="27"/>
    </row>
    <row r="36" spans="3:15" ht="15" customHeight="1" x14ac:dyDescent="0.2">
      <c r="C36" s="27"/>
      <c r="D36" s="27"/>
      <c r="E36" s="27"/>
      <c r="F36" s="224"/>
      <c r="G36" s="275"/>
      <c r="H36" s="221"/>
      <c r="I36" s="333"/>
      <c r="J36" s="27"/>
      <c r="K36" s="27"/>
      <c r="N36" s="263"/>
      <c r="O36" s="27"/>
    </row>
    <row r="37" spans="3:15" ht="15" customHeight="1" x14ac:dyDescent="0.2">
      <c r="C37" s="27"/>
      <c r="D37" s="221"/>
      <c r="E37" s="27"/>
      <c r="F37" s="27"/>
      <c r="G37" s="27"/>
      <c r="H37" s="27"/>
      <c r="I37" s="27"/>
      <c r="J37" s="27"/>
      <c r="K37" s="27"/>
    </row>
    <row r="38" spans="3:15" ht="15" customHeight="1" x14ac:dyDescent="0.2">
      <c r="C38" s="27"/>
      <c r="D38" s="221"/>
      <c r="E38" s="27"/>
      <c r="F38" s="27"/>
      <c r="G38" s="27"/>
      <c r="H38" s="27"/>
      <c r="I38" s="27"/>
      <c r="J38" s="27"/>
      <c r="K38" s="27"/>
    </row>
    <row r="39" spans="3:15" s="213" customFormat="1" ht="15" customHeight="1" x14ac:dyDescent="0.2">
      <c r="C39" s="304"/>
      <c r="D39" s="226" t="s">
        <v>891</v>
      </c>
      <c r="E39" s="771">
        <f ca="1">TODAY()</f>
        <v>45064</v>
      </c>
      <c r="F39" s="772"/>
      <c r="G39" s="296" t="s">
        <v>373</v>
      </c>
      <c r="H39" s="304"/>
      <c r="I39" s="304"/>
      <c r="J39" s="304"/>
      <c r="K39" s="304"/>
    </row>
    <row r="40" spans="3:15" ht="15" customHeight="1" x14ac:dyDescent="0.2">
      <c r="C40" s="27"/>
      <c r="D40" s="221"/>
      <c r="E40" s="27"/>
      <c r="F40" s="27"/>
      <c r="G40" s="27"/>
      <c r="H40" s="27"/>
      <c r="I40" s="27"/>
      <c r="J40" s="27"/>
      <c r="K40" s="27"/>
    </row>
    <row r="41" spans="3:15" ht="15" hidden="1" customHeight="1" x14ac:dyDescent="0.2">
      <c r="N41" s="27"/>
    </row>
    <row r="42" spans="3:15" ht="15" hidden="1" customHeight="1" x14ac:dyDescent="0.2">
      <c r="N42" s="27"/>
    </row>
    <row r="43" spans="3:15" ht="15" hidden="1" customHeight="1" x14ac:dyDescent="0.2"/>
    <row r="44" spans="3:15" ht="15" hidden="1" customHeight="1" x14ac:dyDescent="0.2"/>
    <row r="45" spans="3:15" ht="15" hidden="1" customHeight="1" x14ac:dyDescent="0.2"/>
    <row r="46" spans="3:15" ht="15" hidden="1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</row>
    <row r="47" spans="3:15" ht="15" hidden="1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</row>
    <row r="48" spans="3:15" s="60" customFormat="1" ht="15" hidden="1" customHeight="1" x14ac:dyDescent="0.2">
      <c r="C48" s="296"/>
      <c r="H48" s="296"/>
      <c r="I48" s="296"/>
      <c r="J48" s="296"/>
      <c r="K48" s="296"/>
    </row>
    <row r="49" spans="3:11" s="60" customFormat="1" ht="15" hidden="1" customHeight="1" x14ac:dyDescent="0.2">
      <c r="C49" s="296"/>
      <c r="D49" s="267"/>
      <c r="E49" s="296"/>
      <c r="F49" s="296"/>
      <c r="G49" s="296"/>
      <c r="H49" s="296"/>
      <c r="I49" s="296"/>
      <c r="J49" s="296"/>
      <c r="K49" s="296"/>
    </row>
    <row r="50" spans="3:11" s="60" customFormat="1" ht="15" hidden="1" customHeight="1" x14ac:dyDescent="0.2">
      <c r="C50" s="296"/>
      <c r="D50" s="267"/>
      <c r="E50" s="296"/>
      <c r="F50" s="296"/>
      <c r="G50" s="296"/>
      <c r="I50" s="296"/>
      <c r="J50" s="296"/>
      <c r="K50" s="296"/>
    </row>
    <row r="51" spans="3:11" s="60" customFormat="1" ht="15" hidden="1" customHeight="1" x14ac:dyDescent="0.2">
      <c r="C51" s="296"/>
      <c r="D51" s="267"/>
      <c r="E51" s="296"/>
      <c r="F51" s="296"/>
      <c r="G51" s="296"/>
      <c r="H51" s="296"/>
      <c r="I51" s="296"/>
      <c r="J51" s="296"/>
      <c r="K51" s="296"/>
    </row>
    <row r="52" spans="3:11" s="60" customFormat="1" ht="15" hidden="1" customHeight="1" x14ac:dyDescent="0.2">
      <c r="C52" s="296"/>
      <c r="D52" s="267"/>
      <c r="E52" s="296"/>
      <c r="F52" s="296"/>
      <c r="G52" s="296"/>
      <c r="H52" s="296"/>
      <c r="I52" s="296"/>
      <c r="J52" s="296"/>
      <c r="K52" s="296"/>
    </row>
    <row r="53" spans="3:11" ht="15" hidden="1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</row>
    <row r="54" spans="3:11" ht="15" hidden="1" customHeight="1" x14ac:dyDescent="0.2"/>
    <row r="55" spans="3:11" s="60" customFormat="1" ht="15" hidden="1" customHeight="1" x14ac:dyDescent="0.2">
      <c r="D55" s="267"/>
      <c r="I55" s="33"/>
    </row>
    <row r="56" spans="3:11" ht="15" hidden="1" customHeight="1" x14ac:dyDescent="0.2">
      <c r="E56" s="267"/>
      <c r="F56" s="267"/>
      <c r="G56" s="60"/>
      <c r="H56" s="60"/>
    </row>
    <row r="57" spans="3:11" ht="15" hidden="1" customHeight="1" x14ac:dyDescent="0.2"/>
    <row r="58" spans="3:11" ht="15" hidden="1" customHeight="1" x14ac:dyDescent="0.2"/>
    <row r="59" spans="3:11" ht="15" hidden="1" customHeight="1" x14ac:dyDescent="0.2"/>
    <row r="60" spans="3:11" ht="15" hidden="1" customHeight="1" x14ac:dyDescent="0.2"/>
    <row r="61" spans="3:11" ht="15" hidden="1" customHeight="1" x14ac:dyDescent="0.2"/>
    <row r="62" spans="3:11" ht="15" hidden="1" customHeight="1" x14ac:dyDescent="0.2"/>
  </sheetData>
  <sheetProtection algorithmName="SHA-512" hashValue="f4D8HhTbIXvh3AIw7nWufRytFs90gI2iL8mXzR37nkz7b6BafwLLMTmrmdJqJtc9aLcwuKyRpzjD5JG3ft8NYA==" saltValue="kBFy/RzHvNF4IpJkz4oPxw==" spinCount="100000" sheet="1" objects="1" scenarios="1" selectLockedCells="1"/>
  <mergeCells count="3">
    <mergeCell ref="C6:N6"/>
    <mergeCell ref="E8:M8"/>
    <mergeCell ref="E39:F39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0">
    <pageSetUpPr fitToPage="1"/>
  </sheetPr>
  <dimension ref="A1:P25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264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HYPERLINK("#"&amp;"'Goiaba1a3'!h1","Formação - 1 a 3 anos")</f>
        <v>Formação - 1 a 3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HYPERLINK("#"&amp;"'GoiabaProd'!h1","Produção (4° ano em diante)")</f>
        <v>Produção (4° ano em diante)</v>
      </c>
      <c r="G11" s="711"/>
      <c r="H11" s="711"/>
      <c r="I11" s="711"/>
      <c r="J11" s="711"/>
    </row>
    <row r="12" spans="1:16" ht="24.95" customHeight="1" thickTop="1" x14ac:dyDescent="0.2"/>
    <row r="13" spans="1:16" ht="24.95" customHeight="1" x14ac:dyDescent="0.2"/>
    <row r="14" spans="1:16" ht="24.95" customHeight="1" x14ac:dyDescent="0.2"/>
    <row r="15" spans="1:16" ht="24.95" hidden="1" customHeight="1" x14ac:dyDescent="0.2"/>
    <row r="16" spans="1:16" ht="24.95" hidden="1" customHeight="1" x14ac:dyDescent="0.2"/>
    <row r="17" ht="24.95" hidden="1" customHeight="1" x14ac:dyDescent="0.2"/>
    <row r="18" ht="24.95" hidden="1" customHeight="1" x14ac:dyDescent="0.2"/>
    <row r="19" ht="24.95" hidden="1" customHeight="1" x14ac:dyDescent="0.2"/>
    <row r="20" ht="24.95" hidden="1" customHeight="1" x14ac:dyDescent="0.2"/>
    <row r="21" ht="24.95" hidden="1" customHeight="1" x14ac:dyDescent="0.2"/>
    <row r="22" ht="24.95" hidden="1" customHeight="1" x14ac:dyDescent="0.2"/>
    <row r="23" ht="24.95" hidden="1" customHeight="1" x14ac:dyDescent="0.2"/>
    <row r="24" ht="24.95" hidden="1" customHeight="1" x14ac:dyDescent="0.2"/>
    <row r="25" ht="24.95" hidden="1" customHeight="1" x14ac:dyDescent="0.2"/>
  </sheetData>
  <sheetProtection algorithmName="SHA-512" hashValue="3qV1Uf170880w/oeu40rL/lN4vR4ujWUNt1xqY8PGMrrVraii6UHP6MALk/UdWfNw/W59Vr0zNe5gOTrV0rDBA==" saltValue="TxJAA4HrI4xDpZVbHcleUQ==" spinCount="100000" sheet="1" objects="1" scenarios="1"/>
  <mergeCells count="5"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2">
    <pageSetUpPr fitToPage="1"/>
  </sheetPr>
  <dimension ref="A1:AA5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358" customFormat="1" ht="15" customHeight="1" x14ac:dyDescent="0.25">
      <c r="D10" s="359"/>
      <c r="E10" s="359"/>
      <c r="F10" s="359"/>
      <c r="G10" s="359"/>
      <c r="H10" s="359"/>
    </row>
    <row r="11" spans="1:16" ht="15" customHeight="1" x14ac:dyDescent="0.25">
      <c r="D11" s="164" t="s">
        <v>1858</v>
      </c>
      <c r="E11" s="34"/>
    </row>
    <row r="12" spans="1:16" ht="15" customHeight="1" x14ac:dyDescent="0.2">
      <c r="E12" s="49" t="s">
        <v>2250</v>
      </c>
    </row>
    <row r="13" spans="1:16" ht="15" customHeight="1" x14ac:dyDescent="0.2">
      <c r="E13" s="49" t="s">
        <v>2251</v>
      </c>
    </row>
    <row r="14" spans="1:16" ht="15" customHeight="1" x14ac:dyDescent="0.2">
      <c r="E14" s="49" t="s">
        <v>2252</v>
      </c>
    </row>
    <row r="15" spans="1:16" ht="15" customHeight="1" x14ac:dyDescent="0.2"/>
    <row r="16" spans="1:16" ht="15" customHeight="1" x14ac:dyDescent="0.25">
      <c r="D16" s="164" t="s">
        <v>1940</v>
      </c>
      <c r="E16" s="34"/>
    </row>
    <row r="17" spans="4:27" ht="15" customHeight="1" x14ac:dyDescent="0.2">
      <c r="D17" s="49" t="s">
        <v>1703</v>
      </c>
      <c r="G17" s="237">
        <v>8</v>
      </c>
      <c r="H17" s="49" t="s">
        <v>1953</v>
      </c>
    </row>
    <row r="18" spans="4:27" ht="15" customHeight="1" x14ac:dyDescent="0.2">
      <c r="G18" s="237">
        <v>150</v>
      </c>
      <c r="H18" s="49" t="s">
        <v>1933</v>
      </c>
    </row>
    <row r="19" spans="4:27" ht="15" customHeight="1" x14ac:dyDescent="0.2">
      <c r="G19" s="271"/>
    </row>
    <row r="20" spans="4:27" ht="15" customHeight="1" x14ac:dyDescent="0.2">
      <c r="F20" s="316" t="s">
        <v>2244</v>
      </c>
      <c r="G20" s="224">
        <f>W20*5</f>
        <v>400</v>
      </c>
      <c r="H20" s="292" t="s">
        <v>2235</v>
      </c>
      <c r="I20" s="49"/>
      <c r="J20" s="169"/>
      <c r="W20" s="656">
        <f>IF(G17&lt;10,80,IF(AND(G17&gt;=10,G17&lt;20),50,IF(AND(G17&gt;=20,G17&lt;50),30,0)))</f>
        <v>80</v>
      </c>
      <c r="X20" s="26" t="s">
        <v>653</v>
      </c>
      <c r="Y20" s="26"/>
    </row>
    <row r="21" spans="4:27" ht="15" customHeight="1" x14ac:dyDescent="0.2">
      <c r="F21" s="226" t="s">
        <v>1139</v>
      </c>
      <c r="G21" s="276">
        <f>(W21*5)/3</f>
        <v>250</v>
      </c>
      <c r="H21" s="292" t="str">
        <f>"g/planta de "&amp;Y21&amp;"."</f>
        <v>g/planta de 20-00-15.</v>
      </c>
      <c r="W21" s="292">
        <v>150</v>
      </c>
      <c r="X21" s="26" t="s">
        <v>654</v>
      </c>
      <c r="Y21" s="273" t="str">
        <f>IF(G18&lt;60,"20-00-30",IF(AND(G18&gt;=60,G18&lt;120),"20-00-20",IF(AND(G18&gt;=120,G18&lt;200),"20-00-15",IF(AND(G18&gt;=200,G18&lt;280),"20-00-10","Sultato de Amônio"))))</f>
        <v>20-00-15</v>
      </c>
    </row>
    <row r="22" spans="4:27" ht="15" customHeight="1" x14ac:dyDescent="0.2">
      <c r="I22" s="279"/>
    </row>
    <row r="23" spans="4:27" ht="15" customHeight="1" x14ac:dyDescent="0.25">
      <c r="D23" s="164" t="s">
        <v>2237</v>
      </c>
      <c r="E23" s="34"/>
    </row>
    <row r="24" spans="4:27" ht="15" customHeight="1" x14ac:dyDescent="0.2">
      <c r="D24" s="49" t="s">
        <v>1703</v>
      </c>
      <c r="G24" s="237">
        <v>8</v>
      </c>
      <c r="H24" s="49" t="s">
        <v>1953</v>
      </c>
    </row>
    <row r="25" spans="4:27" ht="15" customHeight="1" x14ac:dyDescent="0.2">
      <c r="G25" s="237">
        <v>150</v>
      </c>
      <c r="H25" s="49" t="s">
        <v>1933</v>
      </c>
    </row>
    <row r="26" spans="4:27" ht="15" customHeight="1" x14ac:dyDescent="0.2">
      <c r="G26" s="271"/>
    </row>
    <row r="27" spans="4:27" ht="15" customHeight="1" x14ac:dyDescent="0.2">
      <c r="F27" s="316" t="s">
        <v>2244</v>
      </c>
      <c r="G27" s="224">
        <f>W27*5</f>
        <v>500</v>
      </c>
      <c r="H27" s="292" t="s">
        <v>2235</v>
      </c>
      <c r="I27" s="49"/>
      <c r="V27" s="325"/>
      <c r="W27" s="26">
        <f>IF(G24&lt;10,100,IF(AND(G24&gt;=10,G24&lt;20),80,IF(AND(G24&gt;=20,G24&lt;50),50,0)))</f>
        <v>100</v>
      </c>
      <c r="X27" s="26" t="s">
        <v>653</v>
      </c>
      <c r="Z27" s="325"/>
      <c r="AA27" s="26"/>
    </row>
    <row r="28" spans="4:27" ht="15" customHeight="1" x14ac:dyDescent="0.2">
      <c r="F28" s="226" t="s">
        <v>1139</v>
      </c>
      <c r="G28" s="257">
        <f>(W28*5)/3</f>
        <v>300</v>
      </c>
      <c r="H28" s="292" t="str">
        <f>"g/planta de "&amp;Y28&amp;"."</f>
        <v>g/planta de 20-00-15.</v>
      </c>
      <c r="V28" s="171"/>
      <c r="W28" s="26">
        <v>180</v>
      </c>
      <c r="X28" s="273" t="s">
        <v>654</v>
      </c>
      <c r="Y28" s="266" t="str">
        <f>IF(G25&lt;60,"20-00-30",IF(AND(G25&gt;=60,G25&lt;120),"20-00-20",IF(AND(G25&gt;=120,G25&lt;200),"20-00-15",IF(AND(G25&gt;=200,G25&lt;280),"20-00-10","Sultato de Amônio"))))</f>
        <v>20-00-15</v>
      </c>
      <c r="Z28" s="171"/>
      <c r="AA28" s="26"/>
    </row>
    <row r="29" spans="4:27" ht="15" customHeight="1" x14ac:dyDescent="0.2"/>
    <row r="30" spans="4:27" s="281" customFormat="1" ht="15" customHeight="1" x14ac:dyDescent="0.25">
      <c r="D30" s="282" t="s">
        <v>2226</v>
      </c>
      <c r="H30" s="283"/>
      <c r="I30" s="283"/>
      <c r="J30" s="283"/>
      <c r="K30" s="283"/>
      <c r="L30" s="283"/>
      <c r="M30" s="283"/>
    </row>
    <row r="31" spans="4:27" ht="15" customHeight="1" x14ac:dyDescent="0.2">
      <c r="D31" s="49" t="s">
        <v>1703</v>
      </c>
      <c r="G31" s="237">
        <v>20</v>
      </c>
      <c r="H31" s="49" t="s">
        <v>1929</v>
      </c>
      <c r="I31" s="283"/>
      <c r="J31" s="283"/>
      <c r="K31" s="263"/>
    </row>
    <row r="32" spans="4:27" ht="15" customHeight="1" x14ac:dyDescent="0.2">
      <c r="G32" s="5">
        <v>7</v>
      </c>
      <c r="H32" s="49" t="s">
        <v>1934</v>
      </c>
      <c r="I32" s="272"/>
      <c r="J32" s="272"/>
      <c r="K32" s="272"/>
    </row>
    <row r="33" spans="4:13" ht="15" customHeight="1" x14ac:dyDescent="0.2">
      <c r="G33" s="281"/>
      <c r="H33" s="298"/>
      <c r="I33" s="283"/>
      <c r="J33" s="283"/>
      <c r="K33" s="263"/>
    </row>
    <row r="34" spans="4:13" ht="15" customHeight="1" x14ac:dyDescent="0.2">
      <c r="D34" s="273" t="s">
        <v>340</v>
      </c>
      <c r="E34" s="263"/>
      <c r="F34" s="283"/>
      <c r="G34" s="237">
        <v>80</v>
      </c>
      <c r="H34" s="49" t="s">
        <v>341</v>
      </c>
      <c r="I34" s="283"/>
      <c r="J34" s="283"/>
      <c r="K34" s="263"/>
    </row>
    <row r="35" spans="4:13" ht="15" customHeight="1" x14ac:dyDescent="0.2">
      <c r="D35" s="281"/>
      <c r="E35" s="281"/>
      <c r="F35" s="281"/>
      <c r="G35" s="281"/>
      <c r="H35" s="275"/>
      <c r="I35" s="281"/>
      <c r="J35" s="281"/>
      <c r="K35" s="281"/>
      <c r="L35" s="281"/>
      <c r="M35" s="281"/>
    </row>
    <row r="36" spans="4:13" ht="15" customHeight="1" x14ac:dyDescent="0.2">
      <c r="D36" s="273" t="s">
        <v>1708</v>
      </c>
      <c r="E36" s="283"/>
      <c r="G36" s="220">
        <f>IF((G32*(60-G31)/G34)&gt;0,G32*(60-G31)/G34,0)</f>
        <v>3.5</v>
      </c>
      <c r="H36" s="273" t="s">
        <v>2019</v>
      </c>
      <c r="I36" s="281"/>
      <c r="J36" s="281"/>
      <c r="K36" s="281"/>
      <c r="L36" s="281"/>
      <c r="M36" s="281"/>
    </row>
    <row r="37" spans="4:13" s="281" customFormat="1" ht="15" customHeight="1" x14ac:dyDescent="0.2">
      <c r="D37" s="275"/>
      <c r="E37" s="220"/>
      <c r="F37" s="280"/>
    </row>
    <row r="38" spans="4:13" s="281" customFormat="1" ht="15" customHeight="1" x14ac:dyDescent="0.2"/>
    <row r="39" spans="4:13" s="281" customFormat="1" ht="15" customHeight="1" x14ac:dyDescent="0.2"/>
    <row r="40" spans="4:13" s="60" customFormat="1" ht="15" customHeight="1" x14ac:dyDescent="0.2"/>
    <row r="41" spans="4:13" s="60" customFormat="1" ht="15" customHeight="1" x14ac:dyDescent="0.2"/>
    <row r="42" spans="4:13" s="60" customFormat="1" ht="15" customHeight="1" x14ac:dyDescent="0.2"/>
    <row r="43" spans="4:13" s="60" customFormat="1" ht="15" customHeight="1" x14ac:dyDescent="0.2"/>
    <row r="44" spans="4:13" s="60" customFormat="1" ht="15" customHeight="1" x14ac:dyDescent="0.2"/>
    <row r="45" spans="4:13" s="60" customFormat="1" ht="15" customHeight="1" x14ac:dyDescent="0.2"/>
    <row r="46" spans="4:13" s="60" customFormat="1" ht="15" customHeight="1" x14ac:dyDescent="0.2">
      <c r="D46" s="226" t="s">
        <v>891</v>
      </c>
      <c r="E46" s="717">
        <f ca="1">TODAY()</f>
        <v>45064</v>
      </c>
      <c r="F46" s="714"/>
      <c r="G46" s="60" t="s">
        <v>373</v>
      </c>
    </row>
    <row r="47" spans="4:13" ht="15" customHeight="1" x14ac:dyDescent="0.2"/>
    <row r="48" spans="4:13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</sheetData>
  <sheetProtection algorithmName="SHA-512" hashValue="5uk94ivJUAfGbtIeEQtNyBEpi9yYEg5pfA+QZiOBFGIovZro4r7ZvZMARo8gtGfII0VrMWi9vnlnBCxZ4ZEWmg==" saltValue="1VxtkrJrbzD6VVtM08Y8hg==" spinCount="100000" sheet="1" objects="1" scenarios="1" selectLockedCells="1"/>
  <mergeCells count="3">
    <mergeCell ref="C6:N6"/>
    <mergeCell ref="E46:F4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3">
    <pageSetUpPr fitToPage="1"/>
  </sheetPr>
  <dimension ref="A1:Z6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358" customFormat="1" ht="15" customHeight="1" x14ac:dyDescent="0.25">
      <c r="D10" s="359"/>
      <c r="E10" s="359"/>
      <c r="F10" s="359"/>
      <c r="G10" s="359"/>
      <c r="H10" s="359"/>
    </row>
    <row r="11" spans="1:16" s="164" customFormat="1" ht="15" customHeight="1" x14ac:dyDescent="0.25">
      <c r="D11" s="266" t="s">
        <v>671</v>
      </c>
      <c r="G11" s="9">
        <v>6</v>
      </c>
      <c r="H11" s="298" t="s">
        <v>2070</v>
      </c>
      <c r="I11" s="9">
        <v>5</v>
      </c>
      <c r="J11" s="298" t="s">
        <v>2069</v>
      </c>
      <c r="K11" s="350">
        <f>10000/(G11*I11)</f>
        <v>333.33333333333331</v>
      </c>
      <c r="L11" s="170" t="s">
        <v>353</v>
      </c>
    </row>
    <row r="12" spans="1:16" ht="15" customHeight="1" x14ac:dyDescent="0.2"/>
    <row r="13" spans="1:16" ht="15" customHeight="1" x14ac:dyDescent="0.2">
      <c r="D13" s="49" t="s">
        <v>1703</v>
      </c>
      <c r="G13" s="237">
        <v>5</v>
      </c>
      <c r="H13" s="49" t="s">
        <v>1953</v>
      </c>
    </row>
    <row r="14" spans="1:16" ht="15" customHeight="1" x14ac:dyDescent="0.2">
      <c r="E14" s="34"/>
      <c r="G14" s="237">
        <v>150</v>
      </c>
      <c r="H14" s="49" t="s">
        <v>1933</v>
      </c>
    </row>
    <row r="15" spans="1:16" ht="15" customHeight="1" x14ac:dyDescent="0.2">
      <c r="G15" s="237">
        <v>20</v>
      </c>
      <c r="H15" s="273" t="s">
        <v>1929</v>
      </c>
    </row>
    <row r="16" spans="1:16" ht="15" customHeight="1" x14ac:dyDescent="0.2">
      <c r="G16" s="5">
        <v>7</v>
      </c>
      <c r="H16" s="273" t="s">
        <v>1934</v>
      </c>
    </row>
    <row r="17" spans="4:26" ht="15" customHeight="1" x14ac:dyDescent="0.2">
      <c r="G17" s="208"/>
      <c r="H17" s="275"/>
    </row>
    <row r="18" spans="4:26" ht="15" customHeight="1" x14ac:dyDescent="0.2">
      <c r="D18" s="273" t="s">
        <v>340</v>
      </c>
      <c r="G18" s="237">
        <v>80</v>
      </c>
      <c r="H18" s="273" t="s">
        <v>341</v>
      </c>
    </row>
    <row r="19" spans="4:26" ht="15" customHeight="1" x14ac:dyDescent="0.2">
      <c r="D19" s="273"/>
      <c r="G19" s="263"/>
      <c r="H19" s="273"/>
    </row>
    <row r="20" spans="4:26" ht="15" customHeight="1" x14ac:dyDescent="0.25">
      <c r="D20" s="326" t="s">
        <v>350</v>
      </c>
      <c r="G20" s="263"/>
      <c r="H20" s="273"/>
    </row>
    <row r="21" spans="4:26" ht="15" customHeight="1" x14ac:dyDescent="0.2">
      <c r="D21" s="222" t="s">
        <v>573</v>
      </c>
      <c r="G21" s="263"/>
      <c r="H21" s="273"/>
    </row>
    <row r="22" spans="4:26" ht="15" customHeight="1" x14ac:dyDescent="0.2">
      <c r="D22" s="273" t="s">
        <v>1708</v>
      </c>
      <c r="G22" s="220">
        <f>IF((G16*(60-G15)/G18)&gt;0,G16*(60-G15)/G18,0)</f>
        <v>3.5</v>
      </c>
      <c r="H22" s="273" t="s">
        <v>2019</v>
      </c>
      <c r="K22" s="26"/>
      <c r="L22" s="26"/>
      <c r="M22" s="26"/>
      <c r="N22" s="26"/>
      <c r="O22" s="26"/>
      <c r="P22" s="26"/>
      <c r="Q22" s="26"/>
    </row>
    <row r="23" spans="4:26" ht="15" customHeight="1" x14ac:dyDescent="0.2">
      <c r="F23" s="280"/>
      <c r="G23" s="169"/>
      <c r="H23" s="169"/>
      <c r="K23" s="26"/>
      <c r="P23" s="26"/>
      <c r="Q23" s="26"/>
      <c r="Y23" s="26"/>
      <c r="Z23" s="26"/>
    </row>
    <row r="24" spans="4:26" ht="15" customHeight="1" x14ac:dyDescent="0.2">
      <c r="D24" s="320" t="s">
        <v>2062</v>
      </c>
      <c r="F24" s="280"/>
      <c r="K24" s="26"/>
      <c r="P24" s="26"/>
      <c r="Q24" s="26"/>
      <c r="Z24" s="26"/>
    </row>
    <row r="25" spans="4:26" ht="15" customHeight="1" x14ac:dyDescent="0.2">
      <c r="F25" s="225" t="s">
        <v>637</v>
      </c>
      <c r="G25" s="224">
        <f>(((W25*5)/K11)/3)*1000</f>
        <v>600</v>
      </c>
      <c r="H25" s="292" t="s">
        <v>2235</v>
      </c>
      <c r="I25" s="279"/>
      <c r="K25" s="26"/>
      <c r="L25" s="26"/>
      <c r="M25" s="26"/>
      <c r="N25" s="26"/>
      <c r="O25" s="26"/>
      <c r="P25" s="26"/>
      <c r="Q25" s="26"/>
      <c r="W25" s="325" t="str">
        <f>IF(G13&lt;10,"120",IF(AND(G13&gt;=10,G13&lt;20),"80",IF(AND(G13&gt;=20,G13&lt;50),"40",0)))</f>
        <v>120</v>
      </c>
      <c r="X25" s="26" t="s">
        <v>651</v>
      </c>
    </row>
    <row r="26" spans="4:26" s="281" customFormat="1" ht="15" customHeight="1" x14ac:dyDescent="0.2">
      <c r="D26" s="275"/>
      <c r="E26" s="224"/>
      <c r="F26" s="226" t="s">
        <v>1139</v>
      </c>
      <c r="G26" s="276">
        <f>1000*((W26*5)/K11)/3</f>
        <v>700</v>
      </c>
      <c r="H26" s="292" t="str">
        <f>"g/planta de "&amp;Y26&amp;"."</f>
        <v>g/planta de 20-00-15.</v>
      </c>
      <c r="I26" s="266"/>
      <c r="J26" s="266"/>
      <c r="K26" s="26"/>
      <c r="L26" s="26"/>
      <c r="M26" s="26"/>
      <c r="N26" s="273"/>
      <c r="O26" s="273"/>
      <c r="P26" s="273"/>
      <c r="Q26" s="273"/>
      <c r="W26" s="171">
        <v>140</v>
      </c>
      <c r="X26" s="26" t="s">
        <v>652</v>
      </c>
      <c r="Y26" s="273" t="str">
        <f>IF(G14&lt;60,"20-00-30",IF(AND(G14&gt;=60,G14&lt;120),"20-00-20",IF(AND(G14&gt;=120,G14&lt;200),"20-00-15",IF(AND(G14&gt;=200,G14&lt;280),"20-00-10","Sultato de Amônio"))))</f>
        <v>20-00-15</v>
      </c>
    </row>
    <row r="27" spans="4:26" s="281" customFormat="1" ht="15" customHeight="1" x14ac:dyDescent="0.2">
      <c r="D27" s="314"/>
      <c r="H27" s="283"/>
      <c r="I27" s="283"/>
      <c r="J27" s="273"/>
      <c r="K27" s="273"/>
    </row>
    <row r="28" spans="4:26" s="281" customFormat="1" ht="15" customHeight="1" x14ac:dyDescent="0.2">
      <c r="D28" s="275"/>
      <c r="H28" s="283"/>
      <c r="I28" s="283"/>
    </row>
    <row r="29" spans="4:26" s="60" customFormat="1" ht="15" customHeight="1" x14ac:dyDescent="0.2"/>
    <row r="30" spans="4:26" s="60" customFormat="1" ht="15" customHeight="1" x14ac:dyDescent="0.2"/>
    <row r="31" spans="4:26" s="60" customFormat="1" ht="15" customHeight="1" x14ac:dyDescent="0.2"/>
    <row r="32" spans="4:26" s="60" customFormat="1" ht="15" customHeight="1" x14ac:dyDescent="0.2"/>
    <row r="33" spans="4:7" s="60" customFormat="1" ht="15" customHeight="1" x14ac:dyDescent="0.2"/>
    <row r="34" spans="4:7" s="60" customFormat="1" ht="15" customHeight="1" x14ac:dyDescent="0.2"/>
    <row r="35" spans="4:7" s="60" customFormat="1" ht="15" customHeight="1" x14ac:dyDescent="0.2"/>
    <row r="36" spans="4:7" s="60" customFormat="1" ht="15" customHeight="1" x14ac:dyDescent="0.2">
      <c r="D36" s="226" t="s">
        <v>891</v>
      </c>
      <c r="E36" s="717">
        <f ca="1">TODAY()</f>
        <v>45064</v>
      </c>
      <c r="F36" s="714"/>
      <c r="G36" s="60" t="s">
        <v>373</v>
      </c>
    </row>
    <row r="37" spans="4:7" s="60" customFormat="1" ht="15" customHeight="1" x14ac:dyDescent="0.2"/>
    <row r="38" spans="4:7" s="60" customFormat="1" ht="15" hidden="1" customHeight="1" x14ac:dyDescent="0.2"/>
    <row r="39" spans="4:7" s="60" customFormat="1" ht="15" hidden="1" customHeight="1" x14ac:dyDescent="0.2"/>
    <row r="40" spans="4:7" s="60" customFormat="1" ht="15" hidden="1" customHeight="1" x14ac:dyDescent="0.2"/>
    <row r="41" spans="4:7" s="60" customFormat="1" ht="15" hidden="1" customHeight="1" x14ac:dyDescent="0.2"/>
    <row r="42" spans="4:7" s="60" customFormat="1" ht="15" hidden="1" customHeight="1" x14ac:dyDescent="0.2"/>
    <row r="43" spans="4:7" ht="15" hidden="1" customHeight="1" x14ac:dyDescent="0.2"/>
    <row r="44" spans="4:7" ht="15" hidden="1" customHeight="1" x14ac:dyDescent="0.2"/>
    <row r="45" spans="4:7" ht="15" hidden="1" customHeight="1" x14ac:dyDescent="0.2"/>
    <row r="46" spans="4:7" ht="15" hidden="1" customHeight="1" x14ac:dyDescent="0.2"/>
    <row r="47" spans="4:7" ht="15" hidden="1" customHeight="1" x14ac:dyDescent="0.2"/>
    <row r="48" spans="4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</sheetData>
  <sheetProtection algorithmName="SHA-512" hashValue="rrk7XGgBzSqm6llSKgjvUGQ+M2g7Lr2/4dOBAvU2vOBfRHB+23WmMl00b18KFkc9VMCz/mCDTc2JTeAAZ5qb/Q==" saltValue="Tu0hjQcnPfGDddFDQDwA7g==" spinCount="100000" sheet="1" objects="1" scenarios="1" selectLockedCells="1"/>
  <mergeCells count="3">
    <mergeCell ref="E36:F36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colBreaks count="1" manualBreakCount="1">
    <brk id="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pageSetUpPr fitToPage="1"/>
  </sheetPr>
  <dimension ref="A1:P45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2.75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46" customFormat="1" ht="24.95" customHeight="1" x14ac:dyDescent="0.2">
      <c r="D6" s="699" t="s">
        <v>1767</v>
      </c>
      <c r="E6" s="699"/>
      <c r="F6" s="699"/>
      <c r="G6" s="699"/>
      <c r="H6" s="699"/>
      <c r="I6" s="699"/>
      <c r="J6" s="699"/>
      <c r="K6" s="699"/>
      <c r="L6" s="699"/>
      <c r="M6" s="699"/>
    </row>
    <row r="7" spans="1:16" s="46" customFormat="1" ht="20.100000000000001" customHeight="1" x14ac:dyDescent="0.25">
      <c r="E7" s="712" t="s">
        <v>1148</v>
      </c>
      <c r="F7" s="712"/>
      <c r="G7" s="712"/>
      <c r="H7" s="94"/>
      <c r="I7" s="94"/>
      <c r="J7" s="94"/>
      <c r="K7" s="236" t="s">
        <v>1117</v>
      </c>
      <c r="L7" s="95"/>
    </row>
    <row r="8" spans="1:16" s="46" customFormat="1" ht="20.100000000000001" customHeight="1" x14ac:dyDescent="0.2">
      <c r="E8" s="96" t="s">
        <v>1111</v>
      </c>
      <c r="F8" s="97"/>
      <c r="G8" s="98"/>
      <c r="H8" s="98"/>
      <c r="I8" s="97"/>
      <c r="J8" s="97"/>
      <c r="K8" s="99" t="s">
        <v>122</v>
      </c>
    </row>
    <row r="9" spans="1:16" s="46" customFormat="1" ht="20.100000000000001" customHeight="1" x14ac:dyDescent="0.2">
      <c r="E9" s="96" t="s">
        <v>1112</v>
      </c>
      <c r="F9" s="97"/>
      <c r="G9" s="98"/>
      <c r="H9" s="98"/>
      <c r="I9" s="97"/>
      <c r="J9" s="97"/>
      <c r="K9" s="99" t="s">
        <v>121</v>
      </c>
    </row>
    <row r="10" spans="1:16" s="46" customFormat="1" ht="20.100000000000001" customHeight="1" x14ac:dyDescent="0.2">
      <c r="E10" s="96" t="s">
        <v>377</v>
      </c>
      <c r="F10" s="97"/>
      <c r="G10" s="100"/>
      <c r="H10" s="97"/>
      <c r="I10" s="97"/>
      <c r="J10" s="97"/>
      <c r="K10" s="99" t="s">
        <v>120</v>
      </c>
    </row>
    <row r="11" spans="1:16" s="46" customFormat="1" ht="20.100000000000001" customHeight="1" x14ac:dyDescent="0.2">
      <c r="E11" s="96" t="s">
        <v>1252</v>
      </c>
      <c r="F11" s="97"/>
      <c r="G11" s="100"/>
      <c r="H11" s="97"/>
      <c r="I11" s="97"/>
      <c r="J11" s="97"/>
      <c r="K11" s="99" t="s">
        <v>1163</v>
      </c>
    </row>
    <row r="12" spans="1:16" s="46" customFormat="1" ht="20.100000000000001" customHeight="1" x14ac:dyDescent="0.2">
      <c r="E12" s="96" t="s">
        <v>508</v>
      </c>
      <c r="F12" s="97"/>
      <c r="G12" s="100"/>
      <c r="H12" s="97"/>
      <c r="I12" s="97"/>
      <c r="J12" s="97"/>
      <c r="K12" s="99" t="s">
        <v>123</v>
      </c>
    </row>
    <row r="13" spans="1:16" s="46" customFormat="1" ht="20.100000000000001" customHeight="1" x14ac:dyDescent="0.2">
      <c r="E13" s="96" t="s">
        <v>509</v>
      </c>
      <c r="F13" s="97"/>
      <c r="G13" s="98"/>
      <c r="H13" s="98"/>
      <c r="I13" s="97"/>
      <c r="J13" s="97"/>
      <c r="K13" s="99" t="s">
        <v>124</v>
      </c>
    </row>
    <row r="14" spans="1:16" s="46" customFormat="1" ht="20.100000000000001" customHeight="1" x14ac:dyDescent="0.2">
      <c r="E14" s="96" t="s">
        <v>510</v>
      </c>
      <c r="F14" s="97"/>
      <c r="G14" s="100"/>
      <c r="H14" s="97"/>
      <c r="I14" s="97"/>
      <c r="J14" s="97"/>
      <c r="K14" s="99" t="s">
        <v>125</v>
      </c>
    </row>
    <row r="15" spans="1:16" s="46" customFormat="1" ht="20.100000000000001" customHeight="1" x14ac:dyDescent="0.2">
      <c r="E15" s="96" t="s">
        <v>511</v>
      </c>
      <c r="F15" s="97"/>
      <c r="G15" s="100"/>
      <c r="H15" s="97"/>
      <c r="I15" s="97"/>
      <c r="J15" s="97"/>
      <c r="K15" s="99" t="s">
        <v>126</v>
      </c>
    </row>
    <row r="16" spans="1:16" s="46" customFormat="1" ht="20.100000000000001" customHeight="1" x14ac:dyDescent="0.2">
      <c r="E16" s="96" t="s">
        <v>127</v>
      </c>
      <c r="F16" s="97"/>
      <c r="G16" s="100"/>
      <c r="H16" s="97"/>
      <c r="I16" s="97"/>
      <c r="J16" s="97"/>
      <c r="K16" s="99" t="s">
        <v>129</v>
      </c>
    </row>
    <row r="17" spans="5:11" s="46" customFormat="1" ht="20.100000000000001" customHeight="1" x14ac:dyDescent="0.2">
      <c r="E17" s="96" t="s">
        <v>128</v>
      </c>
      <c r="F17" s="97"/>
      <c r="G17" s="100"/>
      <c r="H17" s="97"/>
      <c r="I17" s="97"/>
      <c r="J17" s="97"/>
      <c r="K17" s="99" t="s">
        <v>130</v>
      </c>
    </row>
    <row r="18" spans="5:11" s="46" customFormat="1" ht="20.100000000000001" customHeight="1" x14ac:dyDescent="0.2">
      <c r="E18" s="96" t="s">
        <v>136</v>
      </c>
      <c r="F18" s="97"/>
      <c r="G18" s="100"/>
      <c r="H18" s="97"/>
      <c r="I18" s="97"/>
      <c r="J18" s="97"/>
      <c r="K18" s="99" t="s">
        <v>123</v>
      </c>
    </row>
    <row r="19" spans="5:11" s="46" customFormat="1" ht="20.100000000000001" customHeight="1" x14ac:dyDescent="0.2">
      <c r="E19" s="96" t="s">
        <v>1309</v>
      </c>
      <c r="F19" s="97"/>
      <c r="G19" s="100"/>
      <c r="H19" s="97"/>
      <c r="I19" s="97"/>
      <c r="J19" s="97"/>
      <c r="K19" s="99" t="s">
        <v>131</v>
      </c>
    </row>
    <row r="20" spans="5:11" s="46" customFormat="1" ht="20.100000000000001" customHeight="1" x14ac:dyDescent="0.2">
      <c r="E20" s="96" t="s">
        <v>516</v>
      </c>
      <c r="F20" s="97"/>
      <c r="G20" s="100"/>
      <c r="H20" s="97"/>
      <c r="I20" s="97"/>
      <c r="J20" s="97"/>
      <c r="K20" s="99" t="s">
        <v>132</v>
      </c>
    </row>
    <row r="21" spans="5:11" s="46" customFormat="1" ht="20.100000000000001" customHeight="1" x14ac:dyDescent="0.2">
      <c r="E21" s="96" t="s">
        <v>517</v>
      </c>
      <c r="F21" s="97"/>
      <c r="G21" s="100"/>
      <c r="H21" s="97"/>
      <c r="I21" s="97"/>
      <c r="J21" s="97"/>
      <c r="K21" s="99" t="s">
        <v>133</v>
      </c>
    </row>
    <row r="22" spans="5:11" s="46" customFormat="1" ht="20.100000000000001" customHeight="1" x14ac:dyDescent="0.2">
      <c r="E22" s="96" t="s">
        <v>144</v>
      </c>
      <c r="F22" s="97"/>
      <c r="G22" s="100"/>
      <c r="H22" s="97"/>
      <c r="I22" s="97"/>
      <c r="J22" s="97"/>
      <c r="K22" s="99" t="s">
        <v>129</v>
      </c>
    </row>
    <row r="23" spans="5:11" s="46" customFormat="1" ht="20.100000000000001" customHeight="1" x14ac:dyDescent="0.2">
      <c r="E23" s="96" t="s">
        <v>1113</v>
      </c>
      <c r="F23" s="97"/>
      <c r="G23" s="100"/>
      <c r="H23" s="97"/>
      <c r="I23" s="97"/>
      <c r="J23" s="97"/>
      <c r="K23" s="99" t="s">
        <v>129</v>
      </c>
    </row>
    <row r="24" spans="5:11" s="46" customFormat="1" ht="20.100000000000001" customHeight="1" x14ac:dyDescent="0.2">
      <c r="E24" s="96" t="s">
        <v>1114</v>
      </c>
      <c r="F24" s="97"/>
      <c r="G24" s="100"/>
      <c r="H24" s="97"/>
      <c r="I24" s="97"/>
      <c r="J24" s="97"/>
      <c r="K24" s="99" t="s">
        <v>130</v>
      </c>
    </row>
    <row r="25" spans="5:11" s="46" customFormat="1" ht="20.100000000000001" customHeight="1" x14ac:dyDescent="0.2">
      <c r="E25" s="96" t="s">
        <v>1351</v>
      </c>
      <c r="F25" s="97"/>
      <c r="G25" s="100"/>
      <c r="H25" s="97"/>
      <c r="I25" s="97"/>
      <c r="J25" s="97"/>
      <c r="K25" s="99" t="s">
        <v>134</v>
      </c>
    </row>
    <row r="26" spans="5:11" s="46" customFormat="1" ht="20.100000000000001" customHeight="1" x14ac:dyDescent="0.2">
      <c r="E26" s="96" t="s">
        <v>135</v>
      </c>
      <c r="F26" s="97"/>
      <c r="G26" s="100"/>
      <c r="H26" s="97"/>
      <c r="I26" s="97"/>
      <c r="J26" s="97"/>
      <c r="K26" s="99" t="s">
        <v>137</v>
      </c>
    </row>
    <row r="27" spans="5:11" s="46" customFormat="1" ht="20.100000000000001" customHeight="1" x14ac:dyDescent="0.2">
      <c r="E27" s="96" t="s">
        <v>524</v>
      </c>
      <c r="F27" s="97"/>
      <c r="G27" s="100"/>
      <c r="H27" s="100"/>
      <c r="I27" s="97"/>
      <c r="J27" s="97"/>
      <c r="K27" s="99" t="s">
        <v>138</v>
      </c>
    </row>
    <row r="28" spans="5:11" s="46" customFormat="1" ht="20.100000000000001" customHeight="1" x14ac:dyDescent="0.2">
      <c r="E28" s="96" t="s">
        <v>1115</v>
      </c>
      <c r="F28" s="97"/>
      <c r="G28" s="98"/>
      <c r="H28" s="98"/>
      <c r="I28" s="97"/>
      <c r="J28" s="97"/>
      <c r="K28" s="99" t="s">
        <v>137</v>
      </c>
    </row>
    <row r="29" spans="5:11" s="46" customFormat="1" ht="20.100000000000001" customHeight="1" x14ac:dyDescent="0.2">
      <c r="E29" s="96" t="s">
        <v>530</v>
      </c>
      <c r="F29" s="97"/>
      <c r="G29" s="100"/>
      <c r="H29" s="97"/>
      <c r="I29" s="97"/>
      <c r="J29" s="97"/>
      <c r="K29" s="99" t="s">
        <v>139</v>
      </c>
    </row>
    <row r="30" spans="5:11" s="46" customFormat="1" ht="20.100000000000001" customHeight="1" x14ac:dyDescent="0.2">
      <c r="E30" s="96" t="s">
        <v>532</v>
      </c>
      <c r="F30" s="97"/>
      <c r="G30" s="100"/>
      <c r="H30" s="97"/>
      <c r="I30" s="97"/>
      <c r="J30" s="97"/>
      <c r="K30" s="99" t="s">
        <v>124</v>
      </c>
    </row>
    <row r="31" spans="5:11" s="46" customFormat="1" ht="20.100000000000001" customHeight="1" x14ac:dyDescent="0.2">
      <c r="E31" s="96" t="s">
        <v>534</v>
      </c>
      <c r="F31" s="97"/>
      <c r="G31" s="100"/>
      <c r="H31" s="97"/>
      <c r="I31" s="97"/>
      <c r="J31" s="97"/>
      <c r="K31" s="99" t="s">
        <v>129</v>
      </c>
    </row>
    <row r="32" spans="5:11" s="46" customFormat="1" ht="20.100000000000001" customHeight="1" x14ac:dyDescent="0.2">
      <c r="E32" s="96" t="s">
        <v>535</v>
      </c>
      <c r="F32" s="97"/>
      <c r="G32" s="100"/>
      <c r="H32" s="97"/>
      <c r="I32" s="97"/>
      <c r="J32" s="97"/>
      <c r="K32" s="99" t="s">
        <v>124</v>
      </c>
    </row>
    <row r="33" spans="5:12" s="46" customFormat="1" ht="20.100000000000001" customHeight="1" x14ac:dyDescent="0.2">
      <c r="E33" s="96" t="s">
        <v>947</v>
      </c>
      <c r="F33" s="97"/>
      <c r="G33" s="100"/>
      <c r="H33" s="97"/>
      <c r="I33" s="97"/>
      <c r="J33" s="97"/>
      <c r="K33" s="99" t="s">
        <v>140</v>
      </c>
    </row>
    <row r="34" spans="5:12" s="46" customFormat="1" ht="20.100000000000001" customHeight="1" x14ac:dyDescent="0.2">
      <c r="E34" s="96" t="s">
        <v>536</v>
      </c>
      <c r="F34" s="97"/>
      <c r="G34" s="100"/>
      <c r="H34" s="97"/>
      <c r="I34" s="97"/>
      <c r="J34" s="97"/>
      <c r="K34" s="99" t="s">
        <v>141</v>
      </c>
    </row>
    <row r="35" spans="5:12" s="46" customFormat="1" ht="20.100000000000001" customHeight="1" x14ac:dyDescent="0.2">
      <c r="E35" s="96" t="s">
        <v>1307</v>
      </c>
      <c r="F35" s="97"/>
      <c r="G35" s="100"/>
      <c r="H35" s="97"/>
      <c r="I35" s="97"/>
      <c r="J35" s="97"/>
      <c r="K35" s="99" t="s">
        <v>142</v>
      </c>
    </row>
    <row r="36" spans="5:12" s="46" customFormat="1" ht="20.100000000000001" customHeight="1" x14ac:dyDescent="0.2">
      <c r="E36" s="101" t="s">
        <v>639</v>
      </c>
      <c r="F36" s="102"/>
      <c r="G36" s="103"/>
      <c r="H36" s="102"/>
      <c r="I36" s="102"/>
      <c r="J36" s="102"/>
      <c r="K36" s="104" t="s">
        <v>124</v>
      </c>
      <c r="L36" s="105"/>
    </row>
    <row r="37" spans="5:12" s="46" customFormat="1" ht="20.100000000000001" customHeight="1" x14ac:dyDescent="0.2"/>
    <row r="38" spans="5:12" s="46" customFormat="1" ht="20.100000000000001" customHeight="1" x14ac:dyDescent="0.2"/>
    <row r="39" spans="5:12" s="46" customFormat="1" ht="20.100000000000001" customHeight="1" x14ac:dyDescent="0.2"/>
    <row r="40" spans="5:12" hidden="1" x14ac:dyDescent="0.2">
      <c r="G40" s="106"/>
    </row>
    <row r="41" spans="5:12" hidden="1" x14ac:dyDescent="0.2">
      <c r="G41" s="265"/>
    </row>
    <row r="42" spans="5:12" hidden="1" x14ac:dyDescent="0.2">
      <c r="G42" s="265"/>
    </row>
    <row r="43" spans="5:12" hidden="1" x14ac:dyDescent="0.2">
      <c r="G43" s="265"/>
    </row>
    <row r="44" spans="5:12" hidden="1" x14ac:dyDescent="0.2">
      <c r="G44" s="265"/>
    </row>
    <row r="45" spans="5:12" hidden="1" x14ac:dyDescent="0.2">
      <c r="G45" s="265"/>
    </row>
  </sheetData>
  <sheetProtection algorithmName="SHA-512" hashValue="pH01BOnWhzYvVM5rWFPEIUTi0lkVQBJYBJgGHT9Zzl6NOYEpLm63XFsbEr2sBod+9FbtgHjhs8eJWNOhLjZavw==" saltValue="ZL16C77PabWFB7iJE4B+vw==" spinCount="100000" sheet="1" objects="1" scenarios="1"/>
  <mergeCells count="2">
    <mergeCell ref="E7:G7"/>
    <mergeCell ref="D6:M6"/>
  </mergeCells>
  <phoneticPr fontId="49" type="noConversion"/>
  <hyperlinks>
    <hyperlink ref="G27:H27" location="Macadâmia!C10" display="Macadâmia"/>
    <hyperlink ref="K7:L7" location="'Cultivo org'!A1" display="Voltar Menu"/>
  </hyperlinks>
  <printOptions horizontalCentered="1"/>
  <pageMargins left="0.78740157480314965" right="0.78740157480314965" top="0.78740157480314965" bottom="0.78740157480314965" header="0.51181102362204722" footer="0.51181102362204722"/>
  <pageSetup paperSize="9" scale="78" orientation="portrait" horizontalDpi="4294967295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6">
    <pageSetUpPr fitToPage="1"/>
  </sheetPr>
  <dimension ref="A1:P25"/>
  <sheetViews>
    <sheetView showGridLines="0" showRowColHeaders="0" workbookViewId="0"/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264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HYPERLINK("#"&amp;"'Graviola1a3'!h1","Formação - 1 a 3 anos")</f>
        <v>Formação - 1 a 3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HYPERLINK("#"&amp;"'GraviolaProd'!h1","Produção (4° ano em diante)")</f>
        <v>Produção (4° ano em diante)</v>
      </c>
      <c r="G11" s="711"/>
      <c r="H11" s="711"/>
      <c r="I11" s="711"/>
      <c r="J11" s="711"/>
    </row>
    <row r="12" spans="1:16" s="35" customFormat="1" ht="24.95" customHeight="1" thickTop="1" x14ac:dyDescent="0.35"/>
    <row r="13" spans="1:16" s="32" customFormat="1" ht="24.95" customHeight="1" x14ac:dyDescent="0.35"/>
    <row r="14" spans="1:16" ht="15" hidden="1" customHeight="1" x14ac:dyDescent="0.2"/>
    <row r="15" spans="1:16" ht="15" hidden="1" customHeight="1" x14ac:dyDescent="0.2"/>
    <row r="16" spans="1:16" ht="15" hidden="1" customHeight="1" x14ac:dyDescent="0.2"/>
    <row r="17" ht="15" hidden="1" customHeight="1" x14ac:dyDescent="0.2"/>
    <row r="18" ht="15" hidden="1" customHeight="1" x14ac:dyDescent="0.2"/>
    <row r="19" ht="15" hidden="1" customHeight="1" x14ac:dyDescent="0.2"/>
    <row r="20" ht="15" hidden="1" customHeight="1" x14ac:dyDescent="0.2"/>
    <row r="21" ht="15" hidden="1" customHeight="1" x14ac:dyDescent="0.2"/>
    <row r="22" ht="15" hidden="1" customHeight="1" x14ac:dyDescent="0.2"/>
    <row r="23" ht="15" hidden="1" customHeight="1" x14ac:dyDescent="0.2"/>
    <row r="24" ht="15" hidden="1" customHeight="1" x14ac:dyDescent="0.2"/>
    <row r="25" ht="15" hidden="1" customHeight="1" x14ac:dyDescent="0.2"/>
  </sheetData>
  <sheetProtection algorithmName="SHA-512" hashValue="u7F6GSFZ3ggKAUcdCExoizhGV8kaC+DjvDZL0RDNtFHZGFFqaXifSvdJPHyw69KXHP/UP7vzdzVI/x2+x3sqKQ==" saltValue="tRE3rSPSddk+lGhbxX4suA==" spinCount="100000" sheet="1" objects="1" scenarios="1"/>
  <mergeCells count="5">
    <mergeCell ref="C6:N6"/>
    <mergeCell ref="F8:J8"/>
    <mergeCell ref="F9:J9"/>
    <mergeCell ref="F10:J10"/>
    <mergeCell ref="F11:J11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7">
    <pageSetUpPr fitToPage="1"/>
  </sheetPr>
  <dimension ref="A1:Z60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5">
      <c r="D10" s="164" t="s">
        <v>1858</v>
      </c>
      <c r="E10" s="34"/>
    </row>
    <row r="11" spans="1:16" ht="15" customHeight="1" x14ac:dyDescent="0.2">
      <c r="E11" s="49" t="s">
        <v>2250</v>
      </c>
    </row>
    <row r="12" spans="1:16" ht="15" customHeight="1" x14ac:dyDescent="0.2">
      <c r="E12" s="49" t="s">
        <v>2251</v>
      </c>
    </row>
    <row r="13" spans="1:16" ht="15" customHeight="1" x14ac:dyDescent="0.2">
      <c r="E13" s="49" t="s">
        <v>2252</v>
      </c>
    </row>
    <row r="14" spans="1:16" ht="15" customHeight="1" x14ac:dyDescent="0.2"/>
    <row r="15" spans="1:16" ht="15" customHeight="1" x14ac:dyDescent="0.25">
      <c r="D15" s="164" t="s">
        <v>1940</v>
      </c>
      <c r="E15" s="34"/>
    </row>
    <row r="16" spans="1:16" ht="15" customHeight="1" x14ac:dyDescent="0.2">
      <c r="D16" s="49" t="s">
        <v>1703</v>
      </c>
      <c r="G16" s="237">
        <v>8</v>
      </c>
      <c r="H16" s="49" t="s">
        <v>1953</v>
      </c>
    </row>
    <row r="17" spans="4:26" ht="15" customHeight="1" x14ac:dyDescent="0.2">
      <c r="G17" s="237">
        <v>150</v>
      </c>
      <c r="H17" s="49" t="s">
        <v>1933</v>
      </c>
      <c r="K17" s="26"/>
      <c r="L17" s="26"/>
      <c r="M17" s="26"/>
      <c r="N17" s="26"/>
      <c r="O17" s="26"/>
      <c r="P17" s="26"/>
    </row>
    <row r="18" spans="4:26" ht="15" customHeight="1" x14ac:dyDescent="0.2">
      <c r="K18" s="26"/>
      <c r="L18" s="26"/>
      <c r="M18" s="26"/>
      <c r="N18" s="26"/>
      <c r="O18" s="26"/>
      <c r="P18" s="26"/>
    </row>
    <row r="19" spans="4:26" ht="15" customHeight="1" x14ac:dyDescent="0.2">
      <c r="F19" s="316" t="s">
        <v>2244</v>
      </c>
      <c r="G19" s="224">
        <f>W19*5</f>
        <v>400</v>
      </c>
      <c r="H19" s="292" t="s">
        <v>2235</v>
      </c>
      <c r="K19" s="26"/>
      <c r="P19" s="26"/>
      <c r="W19" s="325">
        <f>IF(G16&lt;10,80,IF(AND(G16&gt;=10,G16&lt;20),50,IF(AND(G16&gt;=20,G16&lt;50),30,0)))</f>
        <v>80</v>
      </c>
      <c r="X19" s="26" t="s">
        <v>653</v>
      </c>
      <c r="Y19" s="26"/>
      <c r="Z19" s="26"/>
    </row>
    <row r="20" spans="4:26" ht="15" customHeight="1" x14ac:dyDescent="0.2">
      <c r="D20" s="275"/>
      <c r="F20" s="226" t="s">
        <v>1139</v>
      </c>
      <c r="G20" s="276">
        <f>(W20*5)/3</f>
        <v>250</v>
      </c>
      <c r="H20" s="292" t="str">
        <f>"g/planta de "&amp;Y20&amp;"."</f>
        <v>g/planta de 20-00-15.</v>
      </c>
      <c r="K20" s="26"/>
      <c r="P20" s="26"/>
      <c r="W20" s="171">
        <v>150</v>
      </c>
      <c r="X20" s="26" t="s">
        <v>654</v>
      </c>
      <c r="Y20" s="273" t="str">
        <f>IF(G17&lt;60,"20-00-30",IF(AND(G17&gt;=60,G17&lt;120),"20-00-20",IF(AND(G17&gt;=120,G17&lt;200),"20-00-15",IF(AND(G17&gt;=200,G17&lt;280),"20-00-10","Sultato de Amônio"))))</f>
        <v>20-00-15</v>
      </c>
      <c r="Z20" s="26"/>
    </row>
    <row r="21" spans="4:26" ht="15" customHeight="1" x14ac:dyDescent="0.2">
      <c r="I21" s="279"/>
      <c r="K21" s="26"/>
      <c r="P21" s="26"/>
      <c r="W21" s="26"/>
      <c r="X21" s="26"/>
      <c r="Y21" s="26"/>
      <c r="Z21" s="26"/>
    </row>
    <row r="22" spans="4:26" ht="15" customHeight="1" x14ac:dyDescent="0.25">
      <c r="D22" s="164" t="s">
        <v>2237</v>
      </c>
      <c r="E22" s="34"/>
      <c r="K22" s="26"/>
      <c r="P22" s="26"/>
      <c r="W22" s="26"/>
      <c r="X22" s="26"/>
      <c r="Y22" s="26"/>
      <c r="Z22" s="26"/>
    </row>
    <row r="23" spans="4:26" ht="15" customHeight="1" x14ac:dyDescent="0.2">
      <c r="D23" s="266" t="s">
        <v>338</v>
      </c>
      <c r="G23" s="237">
        <v>8</v>
      </c>
      <c r="H23" s="49" t="s">
        <v>1953</v>
      </c>
      <c r="K23" s="26"/>
      <c r="P23" s="26"/>
      <c r="W23" s="26"/>
      <c r="X23" s="26"/>
      <c r="Y23" s="26"/>
      <c r="Z23" s="26"/>
    </row>
    <row r="24" spans="4:26" ht="15" customHeight="1" x14ac:dyDescent="0.2">
      <c r="G24" s="237">
        <v>150</v>
      </c>
      <c r="H24" s="49" t="s">
        <v>1933</v>
      </c>
      <c r="K24" s="26"/>
      <c r="P24" s="26"/>
      <c r="W24" s="26"/>
      <c r="X24" s="26"/>
      <c r="Y24" s="26"/>
      <c r="Z24" s="26"/>
    </row>
    <row r="25" spans="4:26" ht="15" customHeight="1" x14ac:dyDescent="0.2">
      <c r="K25" s="26"/>
      <c r="P25" s="26"/>
      <c r="W25" s="26"/>
      <c r="X25" s="26"/>
      <c r="Y25" s="26"/>
      <c r="Z25" s="26"/>
    </row>
    <row r="26" spans="4:26" ht="15" customHeight="1" x14ac:dyDescent="0.2">
      <c r="F26" s="316" t="s">
        <v>2244</v>
      </c>
      <c r="G26" s="224">
        <f>W26*5</f>
        <v>500</v>
      </c>
      <c r="H26" s="292" t="s">
        <v>2235</v>
      </c>
      <c r="K26" s="26"/>
      <c r="P26" s="26"/>
      <c r="W26" s="325">
        <f>IF(G23&lt;10,100,IF(AND(G23&gt;=10,G23&lt;20),80,IF(AND(G23&gt;=20,G23&lt;50),50,0)))</f>
        <v>100</v>
      </c>
      <c r="X26" s="26" t="s">
        <v>653</v>
      </c>
      <c r="Y26" s="26"/>
      <c r="Z26" s="26"/>
    </row>
    <row r="27" spans="4:26" ht="15" customHeight="1" x14ac:dyDescent="0.2">
      <c r="D27" s="275"/>
      <c r="F27" s="226" t="s">
        <v>1139</v>
      </c>
      <c r="G27" s="257">
        <f>(W27*5)/3</f>
        <v>300</v>
      </c>
      <c r="H27" s="292" t="str">
        <f>"g/planta de "&amp;Y27&amp;"."</f>
        <v>g/planta de 20-00-15.</v>
      </c>
      <c r="K27" s="26"/>
      <c r="P27" s="26"/>
      <c r="W27" s="171">
        <v>180</v>
      </c>
      <c r="X27" s="26" t="s">
        <v>654</v>
      </c>
      <c r="Y27" s="273" t="str">
        <f>IF(G24&lt;60,"20-00-30",IF(AND(G24&gt;=60,G24&lt;120),"20-00-20",IF(AND(G24&gt;=120,G24&lt;200),"20-00-15",IF(AND(G24&gt;=200,G24&lt;280),"20-00-10","Sultato de Amônio"))))</f>
        <v>20-00-15</v>
      </c>
      <c r="Z27" s="26"/>
    </row>
    <row r="28" spans="4:26" ht="15" customHeight="1" x14ac:dyDescent="0.2">
      <c r="D28" s="275"/>
      <c r="E28" s="224"/>
      <c r="F28" s="280"/>
      <c r="K28" s="26"/>
      <c r="P28" s="26"/>
      <c r="W28" s="26"/>
      <c r="X28" s="26"/>
      <c r="Y28" s="26"/>
      <c r="Z28" s="26"/>
    </row>
    <row r="29" spans="4:26" s="281" customFormat="1" ht="15" customHeight="1" x14ac:dyDescent="0.25">
      <c r="D29" s="282" t="s">
        <v>2226</v>
      </c>
      <c r="H29" s="283"/>
      <c r="I29" s="283"/>
      <c r="J29" s="283"/>
      <c r="K29" s="273"/>
      <c r="L29" s="273"/>
      <c r="M29" s="273"/>
      <c r="N29" s="273"/>
      <c r="O29" s="273"/>
      <c r="P29" s="273"/>
    </row>
    <row r="30" spans="4:26" ht="15" customHeight="1" x14ac:dyDescent="0.2">
      <c r="D30" s="49" t="s">
        <v>1703</v>
      </c>
      <c r="G30" s="237">
        <v>20</v>
      </c>
      <c r="H30" s="49" t="s">
        <v>1929</v>
      </c>
      <c r="I30" s="283"/>
      <c r="J30" s="283"/>
      <c r="K30" s="171"/>
      <c r="L30" s="273"/>
      <c r="M30" s="273"/>
      <c r="N30" s="26"/>
      <c r="O30" s="26"/>
      <c r="P30" s="26"/>
    </row>
    <row r="31" spans="4:26" ht="15" customHeight="1" x14ac:dyDescent="0.2">
      <c r="G31" s="5">
        <v>7</v>
      </c>
      <c r="H31" s="49" t="s">
        <v>1934</v>
      </c>
      <c r="I31" s="272"/>
      <c r="J31" s="272"/>
      <c r="K31" s="272"/>
      <c r="L31" s="315"/>
      <c r="M31" s="26"/>
      <c r="N31" s="26"/>
      <c r="O31" s="26"/>
      <c r="P31" s="26"/>
    </row>
    <row r="32" spans="4:26" ht="15" customHeight="1" x14ac:dyDescent="0.2">
      <c r="H32" s="298"/>
      <c r="I32" s="283"/>
      <c r="J32" s="283"/>
      <c r="K32" s="171"/>
      <c r="L32" s="315"/>
      <c r="M32" s="26"/>
      <c r="N32" s="26"/>
      <c r="O32" s="26"/>
      <c r="P32" s="26"/>
    </row>
    <row r="33" spans="4:16" ht="15" customHeight="1" x14ac:dyDescent="0.2">
      <c r="D33" s="273" t="s">
        <v>340</v>
      </c>
      <c r="E33" s="281"/>
      <c r="F33" s="281"/>
      <c r="G33" s="237">
        <v>80</v>
      </c>
      <c r="H33" s="49" t="s">
        <v>341</v>
      </c>
      <c r="I33" s="281"/>
      <c r="J33" s="281"/>
      <c r="K33" s="273"/>
      <c r="L33" s="273"/>
      <c r="M33" s="273"/>
      <c r="N33" s="26"/>
      <c r="O33" s="26"/>
      <c r="P33" s="26"/>
    </row>
    <row r="34" spans="4:16" ht="15" customHeight="1" x14ac:dyDescent="0.2">
      <c r="D34" s="281"/>
      <c r="E34" s="283"/>
      <c r="H34" s="281"/>
      <c r="I34" s="281"/>
      <c r="J34" s="281"/>
      <c r="K34" s="283"/>
      <c r="L34" s="273"/>
      <c r="M34" s="273"/>
      <c r="N34" s="26"/>
      <c r="O34" s="26"/>
      <c r="P34" s="26"/>
    </row>
    <row r="35" spans="4:16" s="281" customFormat="1" ht="15" customHeight="1" x14ac:dyDescent="0.2">
      <c r="D35" s="273" t="s">
        <v>1708</v>
      </c>
      <c r="E35" s="220"/>
      <c r="F35" s="280"/>
      <c r="G35" s="220">
        <f>IF((G31*(60-G30)/G33)&gt;0,G31*(60-G30)/G33,0)</f>
        <v>3.5</v>
      </c>
      <c r="H35" s="273" t="s">
        <v>2019</v>
      </c>
    </row>
    <row r="36" spans="4:16" ht="15" customHeight="1" x14ac:dyDescent="0.2"/>
    <row r="37" spans="4:16" ht="15" customHeight="1" x14ac:dyDescent="0.2"/>
    <row r="38" spans="4:16" ht="15" customHeight="1" x14ac:dyDescent="0.2"/>
    <row r="39" spans="4:16" ht="15" customHeight="1" x14ac:dyDescent="0.2"/>
    <row r="40" spans="4:16" ht="15" customHeight="1" x14ac:dyDescent="0.2"/>
    <row r="41" spans="4:16" ht="15" customHeight="1" x14ac:dyDescent="0.2"/>
    <row r="42" spans="4:16" ht="15" customHeight="1" x14ac:dyDescent="0.2"/>
    <row r="43" spans="4:16" ht="15" customHeight="1" x14ac:dyDescent="0.2"/>
    <row r="44" spans="4:16" ht="15" customHeight="1" x14ac:dyDescent="0.2">
      <c r="D44" s="226" t="s">
        <v>891</v>
      </c>
      <c r="E44" s="717">
        <f ca="1">TODAY()</f>
        <v>45064</v>
      </c>
      <c r="F44" s="714"/>
      <c r="G44" s="60" t="s">
        <v>373</v>
      </c>
    </row>
    <row r="45" spans="4:16" ht="15" customHeight="1" x14ac:dyDescent="0.2"/>
    <row r="46" spans="4:16" ht="15" hidden="1" customHeight="1" x14ac:dyDescent="0.2"/>
    <row r="47" spans="4:16" ht="15" hidden="1" customHeight="1" x14ac:dyDescent="0.2"/>
    <row r="48" spans="4:16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customHeight="1" x14ac:dyDescent="0.2"/>
  </sheetData>
  <sheetProtection algorithmName="SHA-512" hashValue="cQnbMjPp7U6VSJpwA2U9xVhofQq0geneL5N6/pHaNBmie+N/pgL4imBBkQH57oWL0bPyGpSrHsAPBVVyw8+AyQ==" saltValue="M22z23GkVVGTLUCKGoqeFA==" spinCount="100000" sheet="1" objects="1" scenarios="1" selectLockedCells="1"/>
  <mergeCells count="3">
    <mergeCell ref="E44:F44"/>
    <mergeCell ref="C6:N6"/>
    <mergeCell ref="E8:M8"/>
  </mergeCells>
  <phoneticPr fontId="49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8" orientation="portrait" cellComments="atEnd" r:id="rId1"/>
  <headerFooter alignWithMargins="0"/>
  <colBreaks count="1" manualBreakCount="1">
    <brk id="9" min="5" max="45" man="1"/>
  </col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8">
    <pageSetUpPr fitToPage="1"/>
  </sheetPr>
  <dimension ref="A1:Y59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358" customFormat="1" ht="15" customHeight="1" x14ac:dyDescent="0.25">
      <c r="D10" s="359"/>
      <c r="E10" s="359"/>
      <c r="F10" s="359"/>
      <c r="G10" s="359"/>
      <c r="H10" s="359"/>
    </row>
    <row r="11" spans="1:16" s="164" customFormat="1" ht="15" customHeight="1" x14ac:dyDescent="0.25">
      <c r="D11" s="266" t="s">
        <v>671</v>
      </c>
      <c r="G11" s="237">
        <v>5</v>
      </c>
      <c r="H11" s="298" t="s">
        <v>2070</v>
      </c>
      <c r="I11" s="237">
        <v>4</v>
      </c>
      <c r="J11" s="298" t="s">
        <v>2069</v>
      </c>
      <c r="K11" s="310">
        <f>10000/(G11*I11)</f>
        <v>500</v>
      </c>
      <c r="L11" s="281" t="s">
        <v>353</v>
      </c>
    </row>
    <row r="12" spans="1:16" ht="15" customHeight="1" x14ac:dyDescent="0.2"/>
    <row r="13" spans="1:16" ht="15" customHeight="1" x14ac:dyDescent="0.2">
      <c r="D13" s="49" t="s">
        <v>1703</v>
      </c>
      <c r="G13" s="237">
        <v>5</v>
      </c>
      <c r="H13" s="49" t="s">
        <v>1953</v>
      </c>
    </row>
    <row r="14" spans="1:16" s="49" customFormat="1" ht="15" customHeight="1" x14ac:dyDescent="0.2">
      <c r="D14" s="266"/>
      <c r="E14" s="34"/>
      <c r="G14" s="237">
        <v>90</v>
      </c>
      <c r="H14" s="49" t="s">
        <v>1933</v>
      </c>
    </row>
    <row r="15" spans="1:16" s="49" customFormat="1" ht="15" customHeight="1" x14ac:dyDescent="0.2">
      <c r="D15" s="266"/>
      <c r="G15" s="237">
        <v>20</v>
      </c>
      <c r="H15" s="273" t="s">
        <v>1929</v>
      </c>
    </row>
    <row r="16" spans="1:16" ht="15" customHeight="1" x14ac:dyDescent="0.2">
      <c r="G16" s="5">
        <v>7</v>
      </c>
      <c r="H16" s="273" t="s">
        <v>1934</v>
      </c>
    </row>
    <row r="17" spans="4:25" ht="15" customHeight="1" x14ac:dyDescent="0.2">
      <c r="G17" s="271"/>
      <c r="H17" s="275"/>
    </row>
    <row r="18" spans="4:25" ht="15" customHeight="1" x14ac:dyDescent="0.2">
      <c r="D18" s="273" t="s">
        <v>340</v>
      </c>
      <c r="G18" s="237">
        <v>80</v>
      </c>
      <c r="H18" s="273" t="s">
        <v>341</v>
      </c>
    </row>
    <row r="19" spans="4:25" ht="15" customHeight="1" x14ac:dyDescent="0.2">
      <c r="N19" s="26"/>
      <c r="O19" s="26"/>
      <c r="P19" s="26"/>
      <c r="Q19" s="26"/>
      <c r="R19" s="26"/>
      <c r="S19" s="26"/>
      <c r="T19" s="26"/>
    </row>
    <row r="20" spans="4:25" ht="15" customHeight="1" x14ac:dyDescent="0.25">
      <c r="D20" s="326" t="s">
        <v>350</v>
      </c>
      <c r="N20" s="26"/>
      <c r="O20" s="26"/>
      <c r="P20" s="26"/>
      <c r="Q20" s="26"/>
      <c r="R20" s="26"/>
      <c r="S20" s="26"/>
      <c r="T20" s="26"/>
    </row>
    <row r="21" spans="4:25" ht="15" customHeight="1" x14ac:dyDescent="0.2">
      <c r="D21" s="222" t="s">
        <v>573</v>
      </c>
      <c r="I21" s="280"/>
      <c r="J21" s="169"/>
      <c r="K21" s="169"/>
      <c r="N21" s="26"/>
      <c r="R21" s="26"/>
      <c r="S21" s="26"/>
      <c r="T21" s="26"/>
    </row>
    <row r="22" spans="4:25" s="281" customFormat="1" ht="15" customHeight="1" x14ac:dyDescent="0.2">
      <c r="D22" s="273" t="s">
        <v>1708</v>
      </c>
      <c r="E22" s="224"/>
      <c r="F22" s="280"/>
      <c r="G22" s="220">
        <f>IF((G16*(60-G15)/G18)&gt;0,G16*(60-G15)/G18,0)</f>
        <v>3.5</v>
      </c>
      <c r="H22" s="273" t="s">
        <v>2253</v>
      </c>
      <c r="I22" s="280"/>
      <c r="K22" s="266"/>
      <c r="L22" s="266"/>
      <c r="M22" s="266"/>
      <c r="N22" s="26"/>
      <c r="R22" s="273"/>
      <c r="S22" s="273"/>
      <c r="T22" s="273"/>
    </row>
    <row r="23" spans="4:25" s="281" customFormat="1" ht="15" customHeight="1" x14ac:dyDescent="0.2">
      <c r="D23" s="266"/>
      <c r="G23" s="266"/>
      <c r="H23" s="266"/>
      <c r="I23" s="266"/>
      <c r="J23" s="266"/>
      <c r="K23" s="266"/>
      <c r="L23" s="279"/>
      <c r="M23" s="266"/>
      <c r="N23" s="26"/>
      <c r="O23" s="26"/>
      <c r="P23" s="26"/>
      <c r="Q23" s="26"/>
      <c r="R23" s="273"/>
      <c r="S23" s="273"/>
      <c r="T23" s="273"/>
    </row>
    <row r="24" spans="4:25" s="281" customFormat="1" ht="15" customHeight="1" x14ac:dyDescent="0.2">
      <c r="D24" s="320" t="s">
        <v>2062</v>
      </c>
      <c r="H24" s="283"/>
      <c r="I24" s="283"/>
      <c r="J24" s="283"/>
      <c r="K24" s="283"/>
      <c r="L24" s="283"/>
      <c r="M24" s="283"/>
      <c r="N24" s="273"/>
      <c r="O24" s="273"/>
      <c r="P24" s="273"/>
      <c r="Q24" s="273"/>
      <c r="R24" s="273"/>
      <c r="S24" s="273"/>
      <c r="T24" s="273"/>
    </row>
    <row r="25" spans="4:25" ht="15" customHeight="1" x14ac:dyDescent="0.2">
      <c r="F25" s="225" t="s">
        <v>637</v>
      </c>
      <c r="G25" s="224">
        <f>(((W25*5)/K11)/3)*1000</f>
        <v>399.99999999999994</v>
      </c>
      <c r="H25" s="292" t="s">
        <v>2235</v>
      </c>
      <c r="W25" s="325">
        <f>IF(G13&lt;10,120,IF(AND(G13&gt;=10,G13&lt;20),80,IF(AND(G13&gt;=20,G13&lt;50),40,0)))</f>
        <v>120</v>
      </c>
      <c r="X25" s="26" t="s">
        <v>651</v>
      </c>
      <c r="Y25" s="26"/>
    </row>
    <row r="26" spans="4:25" ht="15" customHeight="1" x14ac:dyDescent="0.2">
      <c r="F26" s="226" t="s">
        <v>1139</v>
      </c>
      <c r="G26" s="276">
        <f>1000*((W26*5)/K11)/3</f>
        <v>466.66666666666669</v>
      </c>
      <c r="H26" s="292" t="str">
        <f>"g/planta de "&amp;Y26&amp;"."</f>
        <v>g/planta de 20-00-20.</v>
      </c>
      <c r="W26" s="171">
        <v>140</v>
      </c>
      <c r="X26" s="26" t="s">
        <v>652</v>
      </c>
      <c r="Y26" s="273" t="str">
        <f>IF(G14&lt;60,"20-00-30",IF(AND(G14&gt;=60,G14&lt;120),"20-00-20",IF(AND(G14&gt;=120,G14&lt;200),"20-00-15",IF(AND(G14&gt;=200,G14&lt;280),"20-00-10","Sultato de Amônio"))))</f>
        <v>20-00-20</v>
      </c>
    </row>
    <row r="27" spans="4:25" ht="15" customHeight="1" x14ac:dyDescent="0.2">
      <c r="F27" s="226"/>
      <c r="G27" s="276"/>
      <c r="H27" s="292"/>
      <c r="W27" s="171"/>
      <c r="X27" s="26"/>
      <c r="Y27" s="273"/>
    </row>
    <row r="28" spans="4:25" ht="15" customHeight="1" x14ac:dyDescent="0.2"/>
    <row r="29" spans="4:25" ht="15" customHeight="1" x14ac:dyDescent="0.2">
      <c r="D29" s="273"/>
      <c r="E29" s="273"/>
      <c r="H29" s="170"/>
      <c r="I29" s="170"/>
      <c r="J29" s="281"/>
      <c r="K29" s="281"/>
      <c r="L29" s="281"/>
      <c r="M29" s="281"/>
    </row>
    <row r="30" spans="4:25" ht="15" customHeight="1" x14ac:dyDescent="0.2"/>
    <row r="31" spans="4:25" ht="15" customHeight="1" x14ac:dyDescent="0.2"/>
    <row r="32" spans="4:25" ht="15" customHeight="1" x14ac:dyDescent="0.2"/>
    <row r="33" spans="4:7" ht="15" customHeight="1" x14ac:dyDescent="0.2"/>
    <row r="34" spans="4:7" ht="15" customHeight="1" x14ac:dyDescent="0.2"/>
    <row r="35" spans="4:7" ht="15" customHeight="1" x14ac:dyDescent="0.2">
      <c r="D35" s="226" t="s">
        <v>891</v>
      </c>
      <c r="E35" s="717">
        <f ca="1">TODAY()</f>
        <v>45064</v>
      </c>
      <c r="F35" s="714"/>
      <c r="G35" s="60" t="s">
        <v>373</v>
      </c>
    </row>
    <row r="36" spans="4:7" ht="15" customHeight="1" x14ac:dyDescent="0.2"/>
    <row r="37" spans="4:7" ht="15" hidden="1" customHeight="1" x14ac:dyDescent="0.2"/>
    <row r="38" spans="4:7" ht="15" hidden="1" customHeight="1" x14ac:dyDescent="0.2"/>
    <row r="39" spans="4:7" ht="15" hidden="1" customHeight="1" x14ac:dyDescent="0.2"/>
    <row r="40" spans="4:7" ht="15" hidden="1" customHeight="1" x14ac:dyDescent="0.2"/>
    <row r="41" spans="4:7" ht="15" hidden="1" customHeight="1" x14ac:dyDescent="0.2"/>
    <row r="42" spans="4:7" ht="15" hidden="1" customHeight="1" x14ac:dyDescent="0.2"/>
    <row r="43" spans="4:7" ht="15" hidden="1" customHeight="1" x14ac:dyDescent="0.2"/>
    <row r="44" spans="4:7" ht="15" hidden="1" customHeight="1" x14ac:dyDescent="0.2"/>
    <row r="45" spans="4:7" ht="15" hidden="1" customHeight="1" x14ac:dyDescent="0.2"/>
    <row r="46" spans="4:7" ht="15" hidden="1" customHeight="1" x14ac:dyDescent="0.2"/>
    <row r="47" spans="4:7" ht="15" hidden="1" customHeight="1" x14ac:dyDescent="0.2"/>
    <row r="48" spans="4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</sheetData>
  <sheetProtection algorithmName="SHA-512" hashValue="D7a01Vuh9OF5SsyEc/Sxb4O4CSk4iGX4VMflSYYK0lZ4c4nDEH3ceSDc0f2VIlXsfF+UFkjEVBSIIMksgPfitQ==" saltValue="Qqnn8ya7ElyQt8remT0vbA==" spinCount="100000" sheet="1" objects="1" scenarios="1" selectLockedCells="1"/>
  <mergeCells count="3">
    <mergeCell ref="E35:F35"/>
    <mergeCell ref="C6:N6"/>
    <mergeCell ref="E8:M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colBreaks count="1" manualBreakCount="1">
    <brk id="9" max="1048575" man="1"/>
  </col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4">
    <pageSetUpPr fitToPage="1"/>
  </sheetPr>
  <dimension ref="A1:X75"/>
  <sheetViews>
    <sheetView showGridLines="0" showRowColHeaders="0" zoomScaleNormal="100" workbookViewId="0">
      <selection activeCell="E8" sqref="E8:M8"/>
    </sheetView>
  </sheetViews>
  <sheetFormatPr defaultColWidth="0" defaultRowHeight="0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24.95" customHeight="1" x14ac:dyDescent="0.2">
      <c r="C6" s="699" t="s">
        <v>2123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7" ht="15" customHeight="1" x14ac:dyDescent="0.2"/>
    <row r="8" spans="1:17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  <c r="O8" s="665"/>
      <c r="P8" s="665"/>
      <c r="Q8" s="665"/>
    </row>
    <row r="9" spans="1:17" ht="15" customHeight="1" x14ac:dyDescent="0.2"/>
    <row r="10" spans="1:17" ht="15" customHeight="1" x14ac:dyDescent="0.25">
      <c r="D10" s="872" t="s">
        <v>969</v>
      </c>
      <c r="E10" s="872"/>
      <c r="F10" s="872"/>
      <c r="G10" s="872"/>
      <c r="H10" s="872"/>
    </row>
    <row r="11" spans="1:17" ht="15" customHeight="1" x14ac:dyDescent="0.2"/>
    <row r="12" spans="1:17" ht="15" customHeight="1" x14ac:dyDescent="0.2">
      <c r="D12" s="266" t="s">
        <v>1208</v>
      </c>
      <c r="G12" s="237">
        <v>0.9</v>
      </c>
      <c r="H12" s="298" t="s">
        <v>2186</v>
      </c>
      <c r="I12" s="5">
        <v>0.3</v>
      </c>
      <c r="J12" s="49" t="s">
        <v>2100</v>
      </c>
      <c r="K12" s="299">
        <f>10000/(G12*I12)</f>
        <v>37037.037037037036</v>
      </c>
      <c r="L12" s="266" t="s">
        <v>353</v>
      </c>
    </row>
    <row r="13" spans="1:17" ht="15" customHeight="1" x14ac:dyDescent="0.2">
      <c r="G13" s="265"/>
      <c r="H13" s="271"/>
      <c r="I13" s="271"/>
      <c r="K13" s="299">
        <f>10000/G12</f>
        <v>11111.111111111111</v>
      </c>
      <c r="L13" s="266" t="s">
        <v>1141</v>
      </c>
    </row>
    <row r="14" spans="1:17" ht="15" customHeight="1" x14ac:dyDescent="0.2">
      <c r="G14" s="265"/>
      <c r="H14" s="271"/>
      <c r="I14" s="271"/>
      <c r="K14" s="299"/>
    </row>
    <row r="15" spans="1:17" ht="15" customHeight="1" x14ac:dyDescent="0.2">
      <c r="D15" s="49" t="s">
        <v>1703</v>
      </c>
      <c r="G15" s="237">
        <v>5</v>
      </c>
      <c r="H15" s="49" t="s">
        <v>1953</v>
      </c>
      <c r="I15" s="271"/>
    </row>
    <row r="16" spans="1:17" ht="15" customHeight="1" x14ac:dyDescent="0.2">
      <c r="G16" s="237">
        <v>35</v>
      </c>
      <c r="H16" s="49" t="s">
        <v>1933</v>
      </c>
      <c r="I16" s="271"/>
    </row>
    <row r="17" spans="4:23" ht="15" customHeight="1" x14ac:dyDescent="0.2">
      <c r="G17" s="10">
        <v>19.3</v>
      </c>
      <c r="H17" s="49" t="s">
        <v>1934</v>
      </c>
      <c r="I17" s="271"/>
    </row>
    <row r="18" spans="4:23" ht="15" customHeight="1" x14ac:dyDescent="0.2">
      <c r="G18" s="237">
        <v>25</v>
      </c>
      <c r="H18" s="49" t="s">
        <v>1929</v>
      </c>
      <c r="I18" s="271"/>
    </row>
    <row r="19" spans="4:23" ht="15" customHeight="1" x14ac:dyDescent="0.2">
      <c r="G19" s="265"/>
      <c r="H19" s="49"/>
      <c r="I19" s="271"/>
    </row>
    <row r="20" spans="4:23" ht="15" customHeight="1" x14ac:dyDescent="0.2">
      <c r="D20" s="266" t="s">
        <v>340</v>
      </c>
      <c r="G20" s="237">
        <v>90</v>
      </c>
      <c r="H20" s="49" t="s">
        <v>341</v>
      </c>
      <c r="I20" s="271"/>
    </row>
    <row r="21" spans="4:23" ht="15" customHeight="1" x14ac:dyDescent="0.2">
      <c r="F21" s="265"/>
      <c r="M21" s="27"/>
    </row>
    <row r="22" spans="4:23" ht="15" customHeight="1" x14ac:dyDescent="0.25">
      <c r="D22" s="291" t="s">
        <v>350</v>
      </c>
      <c r="E22" s="291"/>
      <c r="F22" s="291"/>
      <c r="G22" s="291"/>
      <c r="H22" s="291"/>
      <c r="I22" s="27"/>
      <c r="M22" s="27"/>
    </row>
    <row r="23" spans="4:23" ht="15" customHeight="1" x14ac:dyDescent="0.25">
      <c r="D23" s="302" t="s">
        <v>573</v>
      </c>
      <c r="E23" s="309"/>
      <c r="F23" s="309"/>
      <c r="G23" s="309"/>
      <c r="M23" s="220"/>
    </row>
    <row r="24" spans="4:23" s="213" customFormat="1" ht="15" customHeight="1" x14ac:dyDescent="0.2">
      <c r="D24" s="294" t="s">
        <v>348</v>
      </c>
      <c r="E24" s="267"/>
      <c r="G24" s="286">
        <f>IF((G17*(50-G18)/G20)&gt;0, G17*(50-G18)/G20,0)</f>
        <v>5.3611111111111107</v>
      </c>
      <c r="H24" s="300" t="s">
        <v>349</v>
      </c>
      <c r="I24" s="303"/>
      <c r="M24" s="304"/>
    </row>
    <row r="25" spans="4:23" ht="15" customHeight="1" x14ac:dyDescent="0.2">
      <c r="G25" s="222"/>
      <c r="M25" s="27"/>
    </row>
    <row r="26" spans="4:23" ht="15" customHeight="1" x14ac:dyDescent="0.2">
      <c r="D26" s="169" t="s">
        <v>1702</v>
      </c>
      <c r="G26" s="257">
        <v>3</v>
      </c>
      <c r="H26" s="49" t="s">
        <v>2187</v>
      </c>
      <c r="M26" s="208"/>
      <c r="N26" s="27"/>
      <c r="O26" s="263"/>
    </row>
    <row r="27" spans="4:23" ht="15" customHeight="1" x14ac:dyDescent="0.2">
      <c r="G27" s="224" t="str">
        <f>IF(G15&lt;20,"80",IF(AND(G15&gt;=20,G15&lt;60),"50",IF(AND(G15&gt;=60,G15&lt;100),"30",IF(AND(G15&gt;=100,G15&lt;150),"20",0))))</f>
        <v>80</v>
      </c>
      <c r="H27" s="49" t="s">
        <v>2188</v>
      </c>
      <c r="I27" s="303"/>
      <c r="J27" s="218"/>
      <c r="K27" s="271"/>
      <c r="M27" s="263"/>
      <c r="N27" s="27"/>
      <c r="O27" s="263"/>
    </row>
    <row r="28" spans="4:23" ht="15" customHeight="1" x14ac:dyDescent="0.2">
      <c r="G28" s="224">
        <v>5</v>
      </c>
      <c r="H28" s="49" t="s">
        <v>2189</v>
      </c>
      <c r="I28" s="208"/>
      <c r="J28" s="218"/>
      <c r="K28" s="27"/>
      <c r="L28" s="263"/>
      <c r="M28" s="263"/>
    </row>
    <row r="29" spans="4:23" ht="15" customHeight="1" x14ac:dyDescent="0.2">
      <c r="F29" s="169"/>
      <c r="M29" s="263"/>
    </row>
    <row r="30" spans="4:23" ht="15" customHeight="1" x14ac:dyDescent="0.2">
      <c r="D30" s="169" t="s">
        <v>342</v>
      </c>
      <c r="G30" s="224">
        <v>20</v>
      </c>
      <c r="H30" s="49" t="str">
        <f>"g/m de "&amp;W30&amp;" por ocasião da amontoa."</f>
        <v>g/m de 20-00-30 por ocasião da amontoa.</v>
      </c>
      <c r="J30" s="307"/>
      <c r="W30" s="292" t="str">
        <f>IF(G16&lt;80,"20-00-30",IF(AND(G16&gt;=80,G16&lt;150),"20-00-20",IF(AND(G16&gt;=150,G16&lt;200),"20-00-15",IF(AND(G16&gt;=200,G16&lt;280),"20-00-10","Sulf. Amônio"))))</f>
        <v>20-00-30</v>
      </c>
    </row>
    <row r="31" spans="4:23" ht="15" customHeight="1" x14ac:dyDescent="0.2">
      <c r="H31" s="281"/>
      <c r="I31" s="308"/>
      <c r="M31" s="27"/>
    </row>
    <row r="32" spans="4:23" ht="15" customHeight="1" x14ac:dyDescent="0.2"/>
    <row r="33" spans="2:9" ht="15" customHeight="1" x14ac:dyDescent="0.2">
      <c r="B33" s="169"/>
    </row>
    <row r="34" spans="2:9" ht="15" customHeight="1" x14ac:dyDescent="0.2">
      <c r="B34" s="169"/>
    </row>
    <row r="35" spans="2:9" ht="15" customHeight="1" x14ac:dyDescent="0.2"/>
    <row r="36" spans="2:9" ht="15" customHeight="1" x14ac:dyDescent="0.2"/>
    <row r="37" spans="2:9" s="169" customFormat="1" ht="15" customHeight="1" x14ac:dyDescent="0.2">
      <c r="B37" s="266"/>
    </row>
    <row r="38" spans="2:9" ht="15" customHeight="1" x14ac:dyDescent="0.2">
      <c r="B38" s="213"/>
    </row>
    <row r="39" spans="2:9" ht="15" customHeight="1" x14ac:dyDescent="0.2"/>
    <row r="40" spans="2:9" ht="15" customHeight="1" x14ac:dyDescent="0.2"/>
    <row r="41" spans="2:9" s="60" customFormat="1" ht="15" customHeight="1" x14ac:dyDescent="0.2">
      <c r="B41" s="267"/>
    </row>
    <row r="42" spans="2:9" s="60" customFormat="1" ht="15" customHeight="1" x14ac:dyDescent="0.2">
      <c r="B42" s="267"/>
    </row>
    <row r="43" spans="2:9" s="60" customFormat="1" ht="15" customHeight="1" x14ac:dyDescent="0.2">
      <c r="B43" s="267"/>
    </row>
    <row r="44" spans="2:9" s="60" customFormat="1" ht="15" customHeight="1" x14ac:dyDescent="0.2">
      <c r="B44" s="267"/>
      <c r="F44" s="859"/>
      <c r="G44" s="859"/>
      <c r="H44" s="859"/>
      <c r="I44" s="859"/>
    </row>
    <row r="45" spans="2:9" s="60" customFormat="1" ht="15" customHeight="1" x14ac:dyDescent="0.2">
      <c r="B45" s="267"/>
    </row>
    <row r="46" spans="2:9" s="60" customFormat="1" ht="15" customHeight="1" x14ac:dyDescent="0.2">
      <c r="B46" s="267"/>
      <c r="G46" s="33"/>
    </row>
    <row r="47" spans="2:9" ht="15" customHeight="1" x14ac:dyDescent="0.2">
      <c r="B47" s="208"/>
      <c r="D47" s="60"/>
      <c r="E47" s="60"/>
    </row>
    <row r="48" spans="2:9" ht="15" customHeight="1" x14ac:dyDescent="0.2">
      <c r="B48" s="267"/>
      <c r="D48" s="60"/>
      <c r="E48" s="60"/>
      <c r="F48" s="60"/>
    </row>
    <row r="49" spans="2:7" ht="15" customHeight="1" x14ac:dyDescent="0.2">
      <c r="B49" s="267"/>
      <c r="C49" s="267"/>
      <c r="E49" s="60"/>
      <c r="F49" s="60"/>
    </row>
    <row r="50" spans="2:7" ht="15" customHeight="1" x14ac:dyDescent="0.2">
      <c r="D50" s="226" t="s">
        <v>891</v>
      </c>
      <c r="E50" s="717">
        <f ca="1">TODAY()</f>
        <v>45064</v>
      </c>
      <c r="F50" s="714"/>
      <c r="G50" s="60" t="s">
        <v>373</v>
      </c>
    </row>
    <row r="51" spans="2:7" ht="15" customHeight="1" x14ac:dyDescent="0.2"/>
    <row r="52" spans="2:7" ht="15" hidden="1" customHeight="1" x14ac:dyDescent="0.2"/>
    <row r="53" spans="2:7" ht="15" hidden="1" customHeight="1" x14ac:dyDescent="0.2"/>
    <row r="54" spans="2:7" ht="15" hidden="1" customHeight="1" x14ac:dyDescent="0.2"/>
    <row r="55" spans="2:7" ht="15" hidden="1" customHeight="1" x14ac:dyDescent="0.2"/>
    <row r="56" spans="2:7" ht="15" hidden="1" customHeight="1" x14ac:dyDescent="0.2"/>
    <row r="57" spans="2:7" ht="15" hidden="1" customHeight="1" x14ac:dyDescent="0.2"/>
    <row r="58" spans="2:7" ht="15" hidden="1" customHeight="1" x14ac:dyDescent="0.2"/>
    <row r="59" spans="2:7" ht="15" hidden="1" customHeight="1" x14ac:dyDescent="0.2"/>
    <row r="60" spans="2:7" ht="15" hidden="1" customHeight="1" x14ac:dyDescent="0.2"/>
    <row r="61" spans="2:7" ht="15" hidden="1" customHeight="1" x14ac:dyDescent="0.2"/>
    <row r="62" spans="2:7" ht="15" hidden="1" customHeight="1" x14ac:dyDescent="0.2"/>
    <row r="63" spans="2:7" ht="15" hidden="1" customHeight="1" x14ac:dyDescent="0.2"/>
    <row r="64" spans="2:7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</sheetData>
  <sheetProtection algorithmName="SHA-512" hashValue="Lba3tp1nR2t8fZluHV9LzDBpOmvjd4/E64F85IVUXj/RNUsrchTT8zI6o8YlbhrcKJmWsN3ojGG+befUUQoTDA==" saltValue="Mvr1hNwRZhm0MkO0xgdXSg==" spinCount="100000" sheet="1" objects="1" scenarios="1" selectLockedCells="1"/>
  <mergeCells count="5">
    <mergeCell ref="F44:I44"/>
    <mergeCell ref="D10:H10"/>
    <mergeCell ref="E8:M8"/>
    <mergeCell ref="E50:F50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colBreaks count="1" manualBreakCount="1">
    <brk id="10" max="1048575" man="1"/>
  </col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5">
    <pageSetUpPr fitToPage="1"/>
  </sheetPr>
  <dimension ref="A1:W56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2190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ht="15" customHeight="1" x14ac:dyDescent="0.2"/>
    <row r="11" spans="1:16" ht="15" customHeight="1" x14ac:dyDescent="0.2">
      <c r="D11" s="49" t="s">
        <v>1208</v>
      </c>
      <c r="G11" s="237">
        <v>1.2</v>
      </c>
      <c r="H11" s="298" t="s">
        <v>2070</v>
      </c>
      <c r="I11" s="5">
        <v>0.8</v>
      </c>
      <c r="J11" s="49" t="s">
        <v>2100</v>
      </c>
      <c r="K11" s="299">
        <f>10000/(G11*I11)</f>
        <v>10416.666666666668</v>
      </c>
      <c r="L11" s="266" t="s">
        <v>353</v>
      </c>
      <c r="O11" s="27"/>
    </row>
    <row r="12" spans="1:16" ht="15" customHeight="1" x14ac:dyDescent="0.2">
      <c r="G12" s="265"/>
      <c r="H12" s="271"/>
      <c r="I12" s="271"/>
      <c r="O12" s="27"/>
    </row>
    <row r="13" spans="1:16" ht="15" customHeight="1" x14ac:dyDescent="0.2">
      <c r="D13" s="266" t="s">
        <v>338</v>
      </c>
      <c r="G13" s="237">
        <v>2</v>
      </c>
      <c r="H13" s="49" t="s">
        <v>1953</v>
      </c>
      <c r="I13" s="271"/>
      <c r="O13" s="27"/>
    </row>
    <row r="14" spans="1:16" ht="15" customHeight="1" x14ac:dyDescent="0.2">
      <c r="G14" s="237">
        <v>150</v>
      </c>
      <c r="H14" s="49" t="s">
        <v>1933</v>
      </c>
      <c r="I14" s="271"/>
      <c r="O14" s="27"/>
    </row>
    <row r="15" spans="1:16" ht="15" customHeight="1" x14ac:dyDescent="0.2">
      <c r="G15" s="237">
        <v>8</v>
      </c>
      <c r="H15" s="49" t="s">
        <v>1934</v>
      </c>
      <c r="I15" s="271"/>
      <c r="O15" s="27"/>
    </row>
    <row r="16" spans="1:16" ht="15" customHeight="1" x14ac:dyDescent="0.2">
      <c r="G16" s="237">
        <v>15</v>
      </c>
      <c r="H16" s="49" t="s">
        <v>1929</v>
      </c>
      <c r="I16" s="271"/>
      <c r="O16" s="27"/>
    </row>
    <row r="17" spans="4:23" ht="15" customHeight="1" x14ac:dyDescent="0.2">
      <c r="G17" s="265"/>
      <c r="H17" s="49"/>
      <c r="I17" s="271"/>
      <c r="O17" s="27"/>
    </row>
    <row r="18" spans="4:23" ht="15" customHeight="1" x14ac:dyDescent="0.2">
      <c r="D18" s="266" t="s">
        <v>340</v>
      </c>
      <c r="G18" s="237">
        <v>90</v>
      </c>
      <c r="H18" s="49" t="s">
        <v>341</v>
      </c>
      <c r="I18" s="271"/>
      <c r="O18" s="27"/>
    </row>
    <row r="19" spans="4:23" ht="15" customHeight="1" x14ac:dyDescent="0.2">
      <c r="F19" s="265"/>
      <c r="O19" s="27"/>
    </row>
    <row r="20" spans="4:23" ht="15" customHeight="1" x14ac:dyDescent="0.25">
      <c r="D20" s="291" t="s">
        <v>350</v>
      </c>
      <c r="E20" s="291"/>
      <c r="F20" s="291"/>
      <c r="G20" s="291"/>
      <c r="H20" s="291"/>
      <c r="I20" s="27"/>
      <c r="O20" s="27"/>
    </row>
    <row r="21" spans="4:23" ht="15" customHeight="1" x14ac:dyDescent="0.25">
      <c r="D21" s="302" t="s">
        <v>573</v>
      </c>
      <c r="E21" s="309"/>
      <c r="F21" s="309"/>
      <c r="G21" s="309"/>
    </row>
    <row r="22" spans="4:23" s="213" customFormat="1" ht="15" customHeight="1" x14ac:dyDescent="0.2">
      <c r="D22" s="875" t="s">
        <v>1708</v>
      </c>
      <c r="E22" s="720"/>
      <c r="G22" s="286">
        <f>IF((G15*(60-G16)/G18)&gt;0, G15*(60-G16)/G18,0)</f>
        <v>4</v>
      </c>
      <c r="H22" s="300" t="s">
        <v>349</v>
      </c>
    </row>
    <row r="23" spans="4:23" ht="15" customHeight="1" x14ac:dyDescent="0.2">
      <c r="F23" s="222"/>
    </row>
    <row r="24" spans="4:23" ht="15" customHeight="1" x14ac:dyDescent="0.2">
      <c r="D24" s="49" t="s">
        <v>1696</v>
      </c>
      <c r="G24" s="224">
        <v>10</v>
      </c>
      <c r="H24" s="305" t="str">
        <f>"g/cova de "&amp;W24&amp;" ou  2 L/cova de esterco bovino."</f>
        <v>g/cova de 20-00-15 ou  2 L/cova de esterco bovino.</v>
      </c>
      <c r="W24" s="292" t="str">
        <f>IF(G14&lt;80,"20-00-30",IF(AND(G14&gt;=80,G14&lt;150),"20-00-20",IF(AND(G14&gt;=150,G14&lt;200),"20-00-15",IF(AND(G14&gt;=200,G14&lt;280),"20-00-10","Sulf. Amônio"))))</f>
        <v>20-00-15</v>
      </c>
    </row>
    <row r="25" spans="4:23" ht="15" customHeight="1" x14ac:dyDescent="0.2">
      <c r="G25" s="224" t="str">
        <f>IF(G13&lt;20,"150",IF(AND(G13&gt;=20,G13&lt;60),"100",IF(AND(G13&gt;=60,G13&lt;100),"80",IF(AND(G13&gt;=100,G13&lt;150),"50",0))))</f>
        <v>150</v>
      </c>
      <c r="H25" s="49" t="s">
        <v>2191</v>
      </c>
      <c r="I25" s="303"/>
      <c r="J25" s="218"/>
      <c r="K25" s="271"/>
    </row>
    <row r="26" spans="4:23" ht="15" customHeight="1" x14ac:dyDescent="0.2">
      <c r="G26" s="224">
        <v>5</v>
      </c>
      <c r="H26" s="49" t="s">
        <v>2166</v>
      </c>
      <c r="I26" s="208"/>
      <c r="J26" s="218"/>
      <c r="K26" s="27"/>
    </row>
    <row r="27" spans="4:23" ht="15" customHeight="1" x14ac:dyDescent="0.2">
      <c r="F27" s="169"/>
      <c r="N27" s="263"/>
      <c r="O27" s="27"/>
    </row>
    <row r="28" spans="4:23" ht="15" customHeight="1" x14ac:dyDescent="0.2">
      <c r="D28" s="49" t="s">
        <v>342</v>
      </c>
      <c r="G28" s="224">
        <v>5</v>
      </c>
      <c r="H28" s="60" t="str">
        <f>"g de "&amp;W24&amp;" aos 20 e 40 dias do plantio."</f>
        <v>g de 20-00-15 aos 20 e 40 dias do plantio.</v>
      </c>
      <c r="N28" s="222"/>
      <c r="O28" s="307"/>
    </row>
    <row r="29" spans="4:23" ht="15" customHeight="1" x14ac:dyDescent="0.2">
      <c r="G29" s="224">
        <v>10</v>
      </c>
      <c r="H29" s="60" t="str">
        <f>"g de "&amp;W24&amp;" aos 60, 80 e 100 dias do plantio."</f>
        <v>g de 20-00-15 aos 60, 80 e 100 dias do plantio.</v>
      </c>
      <c r="N29" s="222"/>
      <c r="O29" s="308"/>
    </row>
    <row r="30" spans="4:23" ht="15" customHeight="1" x14ac:dyDescent="0.2">
      <c r="F30" s="222"/>
      <c r="H30" s="221"/>
      <c r="I30" s="308"/>
      <c r="O30" s="27"/>
    </row>
    <row r="31" spans="4:23" ht="15" customHeight="1" x14ac:dyDescent="0.2">
      <c r="D31" s="169"/>
    </row>
    <row r="32" spans="4:23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s="60" customFormat="1" ht="15" customHeight="1" x14ac:dyDescent="0.2">
      <c r="D37" s="226" t="s">
        <v>891</v>
      </c>
      <c r="E37" s="717">
        <f ca="1">TODAY()</f>
        <v>45064</v>
      </c>
      <c r="F37" s="714"/>
      <c r="G37" s="60" t="s">
        <v>373</v>
      </c>
    </row>
    <row r="38" spans="4:7" s="60" customFormat="1" ht="15" customHeight="1" x14ac:dyDescent="0.2">
      <c r="D38" s="267"/>
    </row>
    <row r="39" spans="4:7" ht="15" hidden="1" customHeight="1" x14ac:dyDescent="0.2"/>
    <row r="40" spans="4:7" ht="15" hidden="1" customHeight="1" x14ac:dyDescent="0.2"/>
    <row r="41" spans="4:7" ht="15" hidden="1" customHeight="1" x14ac:dyDescent="0.2"/>
    <row r="42" spans="4:7" ht="15" hidden="1" customHeight="1" x14ac:dyDescent="0.2"/>
    <row r="43" spans="4:7" ht="15" hidden="1" customHeight="1" x14ac:dyDescent="0.2"/>
    <row r="44" spans="4:7" ht="15" hidden="1" customHeight="1" x14ac:dyDescent="0.2"/>
    <row r="45" spans="4:7" ht="15" hidden="1" customHeight="1" x14ac:dyDescent="0.2"/>
    <row r="46" spans="4:7" ht="15" hidden="1" customHeight="1" x14ac:dyDescent="0.2"/>
    <row r="47" spans="4:7" ht="15" hidden="1" customHeight="1" x14ac:dyDescent="0.2"/>
    <row r="48" spans="4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customHeight="1" x14ac:dyDescent="0.2"/>
  </sheetData>
  <sheetProtection algorithmName="SHA-512" hashValue="glWtBAsj0RbXIW+A3pDe5VYi6YhgCBdnlvz5kAbJ7GwoxUGO95eX/bsiFwL0+gJrUDYcE5xSD6Ekx8k5j5JXPg==" saltValue="UBTcUP07i1lDaS/XWZCFhQ==" spinCount="100000" sheet="1" objects="1" scenarios="1" selectLockedCells="1"/>
  <mergeCells count="4">
    <mergeCell ref="C6:N6"/>
    <mergeCell ref="D22:E22"/>
    <mergeCell ref="E8:M8"/>
    <mergeCell ref="E37:F37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0">
    <pageSetUpPr fitToPage="1"/>
  </sheetPr>
  <dimension ref="A1:P15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2119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52" t="s">
        <v>2066</v>
      </c>
      <c r="K7" s="32"/>
      <c r="L7" s="32"/>
      <c r="M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HYPERLINK("#"&amp;"'Lichia1a2'!h1","Formação - 1 a 2 anos")</f>
        <v>Formação - 1 a 2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HYPERLINK("#"&amp;"'Lichia3a4'!H1","Formação - 3 a 4 anos")</f>
        <v>Formação - 3 a 4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HYPERLINK("#"&amp;"'LichiaProd'!h1","Produção (5° ano em diante)")</f>
        <v>Produção (5° ano em diante)</v>
      </c>
      <c r="G12" s="711"/>
      <c r="H12" s="711"/>
      <c r="I12" s="711"/>
      <c r="J12" s="711"/>
    </row>
    <row r="13" spans="1:16" s="32" customFormat="1" ht="24.95" customHeight="1" thickTop="1" x14ac:dyDescent="0.35"/>
    <row r="14" spans="1:16" ht="24.95" customHeight="1" x14ac:dyDescent="0.2"/>
    <row r="15" spans="1:16" ht="24.95" customHeight="1" x14ac:dyDescent="0.2"/>
  </sheetData>
  <sheetProtection algorithmName="SHA-512" hashValue="3GLk//aZO0/CCKLG6XcscivezvWkqbMsMOIwbOt1qWnG6dRFimOMpq3QM7Seb3+cfQ3Kg7kzBLNtb60xyggGgA==" saltValue="F6gAK13JL8D2n1udenTDNw==" spinCount="100000" sheet="1" objects="1" scenarios="1"/>
  <mergeCells count="6">
    <mergeCell ref="F12:J12"/>
    <mergeCell ref="C6:N6"/>
    <mergeCell ref="F8:J8"/>
    <mergeCell ref="F9:J9"/>
    <mergeCell ref="F10:J10"/>
    <mergeCell ref="F11:J11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1">
    <pageSetUpPr fitToPage="1"/>
  </sheetPr>
  <dimension ref="A1:AP73"/>
  <sheetViews>
    <sheetView showGridLines="0" showRowColHeaders="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42" width="0" style="266" hidden="1" customWidth="1"/>
    <col min="43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2120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/>
    <row r="8" spans="1:25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ht="15" customHeight="1" x14ac:dyDescent="0.2"/>
    <row r="10" spans="1:25" s="287" customFormat="1" ht="15" customHeight="1" x14ac:dyDescent="0.25">
      <c r="D10" s="164" t="s">
        <v>1858</v>
      </c>
      <c r="E10" s="34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</row>
    <row r="11" spans="1:25" ht="15" customHeight="1" x14ac:dyDescent="0.2">
      <c r="E11" s="49" t="s">
        <v>2254</v>
      </c>
    </row>
    <row r="12" spans="1:25" s="494" customFormat="1" ht="15" customHeight="1" x14ac:dyDescent="0.2">
      <c r="D12" s="266"/>
      <c r="E12" s="49" t="s">
        <v>2255</v>
      </c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</row>
    <row r="13" spans="1:25" s="60" customFormat="1" ht="15" customHeight="1" x14ac:dyDescent="0.2">
      <c r="D13" s="266"/>
      <c r="E13" s="49" t="s">
        <v>2256</v>
      </c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</row>
    <row r="14" spans="1:25" s="60" customFormat="1" ht="15" customHeight="1" x14ac:dyDescent="0.2"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</row>
    <row r="15" spans="1:25" s="60" customFormat="1" ht="15" customHeight="1" x14ac:dyDescent="0.25">
      <c r="D15" s="164" t="s">
        <v>1940</v>
      </c>
      <c r="E15" s="34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</row>
    <row r="16" spans="1:25" s="60" customFormat="1" ht="15" customHeight="1" x14ac:dyDescent="0.2">
      <c r="D16" s="49" t="s">
        <v>1703</v>
      </c>
      <c r="E16" s="266"/>
      <c r="F16" s="266"/>
      <c r="G16" s="237">
        <v>5</v>
      </c>
      <c r="H16" s="49" t="s">
        <v>1953</v>
      </c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</row>
    <row r="17" spans="4:25" ht="15" customHeight="1" x14ac:dyDescent="0.2">
      <c r="G17" s="237">
        <v>150</v>
      </c>
      <c r="H17" s="49" t="s">
        <v>1933</v>
      </c>
      <c r="K17" s="26"/>
      <c r="L17" s="26"/>
      <c r="M17" s="26"/>
      <c r="N17" s="26"/>
      <c r="O17" s="26"/>
      <c r="P17" s="26"/>
    </row>
    <row r="18" spans="4:25" ht="15" customHeight="1" x14ac:dyDescent="0.2">
      <c r="K18" s="26"/>
      <c r="L18" s="26"/>
      <c r="M18" s="26"/>
      <c r="N18" s="26"/>
      <c r="O18" s="26"/>
      <c r="P18" s="26"/>
    </row>
    <row r="19" spans="4:25" ht="15" customHeight="1" x14ac:dyDescent="0.2">
      <c r="F19" s="316" t="s">
        <v>2244</v>
      </c>
      <c r="G19" s="224">
        <f>W19*5</f>
        <v>300</v>
      </c>
      <c r="H19" s="292" t="s">
        <v>2235</v>
      </c>
      <c r="K19" s="26"/>
      <c r="P19" s="26"/>
      <c r="W19" s="325">
        <f>IF(C18&lt;10,60,IF(AND(C18&gt;=10,C18&lt;20),40,IF(AND(C18&gt;=20,C18&lt;50),20,0)))</f>
        <v>60</v>
      </c>
      <c r="X19" s="26" t="s">
        <v>653</v>
      </c>
      <c r="Y19" s="26"/>
    </row>
    <row r="20" spans="4:25" ht="15" customHeight="1" x14ac:dyDescent="0.2">
      <c r="D20" s="275"/>
      <c r="F20" s="226" t="s">
        <v>1139</v>
      </c>
      <c r="G20" s="276">
        <f>(W20*5)/3</f>
        <v>180</v>
      </c>
      <c r="H20" s="292" t="str">
        <f>"g/planta de "&amp;Y20&amp;"."</f>
        <v>g/planta de 20-00-15.</v>
      </c>
      <c r="K20" s="26"/>
      <c r="P20" s="26"/>
      <c r="W20" s="171">
        <v>108</v>
      </c>
      <c r="X20" s="26" t="s">
        <v>654</v>
      </c>
      <c r="Y20" s="273" t="str">
        <f>IF(G17&lt;60,"20-00-30",IF(AND(G17&gt;=60,G17&lt;120),"20-00-20",IF(AND(G17&gt;=120,G17&lt;200),"20-00-15",IF(AND(G17&gt;=200,G17&lt;280),"20-00-10","Sultato de Amônio"))))</f>
        <v>20-00-15</v>
      </c>
    </row>
    <row r="21" spans="4:25" ht="15" customHeight="1" x14ac:dyDescent="0.2">
      <c r="I21" s="279"/>
      <c r="K21" s="26"/>
      <c r="P21" s="26"/>
      <c r="W21" s="26"/>
      <c r="X21" s="26"/>
      <c r="Y21" s="26"/>
    </row>
    <row r="22" spans="4:25" ht="15" customHeight="1" x14ac:dyDescent="0.25">
      <c r="D22" s="282" t="s">
        <v>1941</v>
      </c>
      <c r="E22" s="281"/>
      <c r="F22" s="281"/>
      <c r="G22" s="281"/>
      <c r="H22" s="283"/>
      <c r="I22" s="283"/>
      <c r="J22" s="283"/>
      <c r="K22" s="273"/>
      <c r="L22" s="273"/>
      <c r="M22" s="273"/>
      <c r="N22" s="273"/>
      <c r="O22" s="273"/>
      <c r="P22" s="273"/>
      <c r="Q22" s="281"/>
      <c r="R22" s="281"/>
      <c r="S22" s="281"/>
      <c r="T22" s="281"/>
      <c r="U22" s="281"/>
      <c r="V22" s="281"/>
      <c r="W22" s="281"/>
      <c r="X22" s="281"/>
      <c r="Y22" s="281"/>
    </row>
    <row r="23" spans="4:25" ht="15" customHeight="1" x14ac:dyDescent="0.2">
      <c r="D23" s="49" t="s">
        <v>1703</v>
      </c>
      <c r="G23" s="237">
        <v>20</v>
      </c>
      <c r="H23" s="49" t="s">
        <v>1929</v>
      </c>
      <c r="I23" s="283"/>
      <c r="J23" s="283"/>
      <c r="K23" s="171"/>
      <c r="L23" s="273"/>
      <c r="M23" s="273"/>
      <c r="N23" s="26"/>
      <c r="O23" s="26"/>
      <c r="P23" s="26"/>
    </row>
    <row r="24" spans="4:25" ht="15" customHeight="1" x14ac:dyDescent="0.2">
      <c r="G24" s="5">
        <v>7</v>
      </c>
      <c r="H24" s="49" t="s">
        <v>1934</v>
      </c>
      <c r="I24" s="272"/>
      <c r="J24" s="272"/>
      <c r="K24" s="272"/>
      <c r="L24" s="315"/>
      <c r="M24" s="26"/>
      <c r="N24" s="26"/>
      <c r="O24" s="26"/>
      <c r="P24" s="26"/>
    </row>
    <row r="25" spans="4:25" ht="15" customHeight="1" x14ac:dyDescent="0.2">
      <c r="H25" s="298"/>
      <c r="I25" s="283"/>
      <c r="J25" s="283"/>
      <c r="K25" s="171"/>
      <c r="L25" s="315"/>
      <c r="M25" s="26"/>
      <c r="N25" s="26"/>
      <c r="O25" s="26"/>
      <c r="P25" s="26"/>
    </row>
    <row r="26" spans="4:25" ht="15" customHeight="1" x14ac:dyDescent="0.2">
      <c r="D26" s="273" t="s">
        <v>340</v>
      </c>
      <c r="E26" s="281"/>
      <c r="F26" s="281"/>
      <c r="G26" s="237">
        <v>80</v>
      </c>
      <c r="H26" s="49" t="s">
        <v>341</v>
      </c>
      <c r="I26" s="281"/>
      <c r="J26" s="281"/>
      <c r="K26" s="273"/>
      <c r="L26" s="273"/>
      <c r="M26" s="273"/>
      <c r="N26" s="26"/>
      <c r="O26" s="26"/>
      <c r="P26" s="26"/>
    </row>
    <row r="27" spans="4:25" ht="15" customHeight="1" x14ac:dyDescent="0.2">
      <c r="D27" s="281"/>
      <c r="E27" s="283"/>
      <c r="H27" s="281"/>
      <c r="I27" s="281"/>
      <c r="J27" s="281"/>
      <c r="K27" s="283"/>
      <c r="L27" s="273"/>
      <c r="M27" s="273"/>
      <c r="N27" s="26"/>
      <c r="O27" s="26"/>
      <c r="P27" s="26"/>
    </row>
    <row r="28" spans="4:25" ht="15" customHeight="1" x14ac:dyDescent="0.2">
      <c r="D28" s="273" t="s">
        <v>1708</v>
      </c>
      <c r="E28" s="220"/>
      <c r="F28" s="280"/>
      <c r="G28" s="220">
        <f>IF((G24*(70-G23)/G26)&gt;0,G24*(70-G23)/G26,0)</f>
        <v>4.375</v>
      </c>
      <c r="H28" s="273" t="s">
        <v>1878</v>
      </c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</row>
    <row r="29" spans="4:25" ht="15" customHeight="1" x14ac:dyDescent="0.2"/>
    <row r="30" spans="4:25" ht="15" customHeight="1" x14ac:dyDescent="0.2"/>
    <row r="31" spans="4:25" ht="15" customHeight="1" x14ac:dyDescent="0.2"/>
    <row r="32" spans="4:25" ht="15" customHeight="1" x14ac:dyDescent="0.2"/>
    <row r="33" spans="4:27" ht="15" customHeight="1" x14ac:dyDescent="0.2"/>
    <row r="34" spans="4:27" ht="15" customHeight="1" x14ac:dyDescent="0.2"/>
    <row r="35" spans="4:27" ht="15" customHeight="1" x14ac:dyDescent="0.2"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</row>
    <row r="36" spans="4:27" ht="15" customHeight="1" x14ac:dyDescent="0.2"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</row>
    <row r="37" spans="4:27" ht="15" customHeight="1" x14ac:dyDescent="0.2"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</row>
    <row r="38" spans="4:27" ht="15" customHeight="1" x14ac:dyDescent="0.2">
      <c r="D38" s="226" t="s">
        <v>891</v>
      </c>
      <c r="E38" s="717">
        <f ca="1">TODAY()</f>
        <v>45064</v>
      </c>
      <c r="F38" s="714"/>
      <c r="G38" s="60" t="s">
        <v>373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</row>
    <row r="39" spans="4:27" ht="15" hidden="1" customHeight="1" x14ac:dyDescent="0.2"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</row>
    <row r="40" spans="4:27" ht="15" hidden="1" customHeight="1" x14ac:dyDescent="0.2"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</row>
    <row r="41" spans="4:27" ht="15" hidden="1" customHeight="1" x14ac:dyDescent="0.2"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</row>
    <row r="42" spans="4:27" s="60" customFormat="1" ht="15" hidden="1" customHeight="1" x14ac:dyDescent="0.2"/>
    <row r="43" spans="4:27" s="60" customFormat="1" ht="15" hidden="1" customHeight="1" x14ac:dyDescent="0.2"/>
    <row r="44" spans="4:27" s="60" customFormat="1" ht="15" hidden="1" customHeight="1" x14ac:dyDescent="0.2"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</row>
    <row r="45" spans="4:27" s="60" customFormat="1" ht="15" hidden="1" customHeight="1" x14ac:dyDescent="0.2"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</row>
    <row r="46" spans="4:27" s="60" customFormat="1" ht="15" hidden="1" customHeight="1" x14ac:dyDescent="0.2"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</row>
    <row r="47" spans="4:27" s="60" customFormat="1" ht="15" hidden="1" customHeight="1" x14ac:dyDescent="0.2"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</row>
    <row r="48" spans="4:27" s="60" customFormat="1" ht="15" hidden="1" customHeight="1" x14ac:dyDescent="0.2"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</row>
    <row r="49" spans="4:27" s="60" customFormat="1" ht="15" hidden="1" customHeight="1" x14ac:dyDescent="0.2"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</row>
    <row r="50" spans="4:27" s="60" customFormat="1" ht="15" hidden="1" customHeight="1" x14ac:dyDescent="0.2"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</row>
    <row r="51" spans="4:27" ht="15" hidden="1" customHeight="1" x14ac:dyDescent="0.2"/>
    <row r="52" spans="4:27" ht="15" hidden="1" customHeight="1" x14ac:dyDescent="0.2"/>
    <row r="53" spans="4:27" ht="15" hidden="1" customHeight="1" x14ac:dyDescent="0.2"/>
    <row r="54" spans="4:27" ht="15" hidden="1" customHeight="1" x14ac:dyDescent="0.2"/>
    <row r="55" spans="4:27" ht="15" hidden="1" customHeight="1" x14ac:dyDescent="0.2"/>
    <row r="56" spans="4:27" ht="15" hidden="1" customHeight="1" x14ac:dyDescent="0.2"/>
    <row r="57" spans="4:27" ht="15" hidden="1" customHeight="1" x14ac:dyDescent="0.2"/>
    <row r="58" spans="4:27" ht="15" hidden="1" customHeight="1" x14ac:dyDescent="0.2"/>
    <row r="59" spans="4:27" ht="15" hidden="1" customHeight="1" x14ac:dyDescent="0.2"/>
    <row r="60" spans="4:27" ht="15" hidden="1" customHeight="1" x14ac:dyDescent="0.2"/>
    <row r="61" spans="4:27" ht="15" hidden="1" customHeight="1" x14ac:dyDescent="0.2"/>
    <row r="62" spans="4:27" ht="15" hidden="1" customHeight="1" x14ac:dyDescent="0.2"/>
    <row r="63" spans="4:27" ht="15" hidden="1" customHeight="1" x14ac:dyDescent="0.2"/>
    <row r="64" spans="4:27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</sheetData>
  <sheetProtection algorithmName="SHA-512" hashValue="8oApAZBxz05Q7JQc0No8nELC5xhkMsNA3uhjdKvh9Bh9Z0+zKufSh3g6qARiY0LWaabUGpy0hiK4YL145SaQKw==" saltValue="4JTIrd0raM+mxAVvw4zyzA==" spinCount="100000" sheet="1" objects="1" scenarios="1" selectLockedCells="1"/>
  <mergeCells count="3">
    <mergeCell ref="E8:M8"/>
    <mergeCell ref="E38:F38"/>
    <mergeCell ref="C6:N6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2">
    <pageSetUpPr fitToPage="1"/>
  </sheetPr>
  <dimension ref="A1:AA41"/>
  <sheetViews>
    <sheetView showGridLines="0" showRowColHeaders="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2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7" ht="24.95" customHeight="1" x14ac:dyDescent="0.2">
      <c r="C6" s="699" t="s">
        <v>2121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7" ht="15" customHeight="1" x14ac:dyDescent="0.2"/>
    <row r="8" spans="1:27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7" ht="15" customHeight="1" x14ac:dyDescent="0.2"/>
    <row r="10" spans="1:27" ht="15" customHeight="1" x14ac:dyDescent="0.25">
      <c r="D10" s="164" t="s">
        <v>1951</v>
      </c>
      <c r="E10" s="34"/>
    </row>
    <row r="11" spans="1:27" ht="15" customHeight="1" x14ac:dyDescent="0.2">
      <c r="D11" s="49" t="s">
        <v>1703</v>
      </c>
      <c r="G11" s="237">
        <v>5</v>
      </c>
      <c r="H11" s="49" t="s">
        <v>1953</v>
      </c>
      <c r="U11" s="26"/>
      <c r="V11" s="26"/>
      <c r="W11" s="26"/>
      <c r="X11" s="26"/>
      <c r="Y11" s="26"/>
      <c r="Z11" s="26"/>
      <c r="AA11" s="26"/>
    </row>
    <row r="12" spans="1:27" ht="15" customHeight="1" x14ac:dyDescent="0.2">
      <c r="G12" s="237">
        <v>150</v>
      </c>
      <c r="H12" s="49" t="s">
        <v>1933</v>
      </c>
      <c r="U12" s="26"/>
      <c r="V12" s="26"/>
      <c r="W12" s="26"/>
      <c r="X12" s="26"/>
      <c r="Y12" s="26"/>
      <c r="Z12" s="26"/>
      <c r="AA12" s="26"/>
    </row>
    <row r="13" spans="1:27" ht="15" customHeight="1" x14ac:dyDescent="0.2">
      <c r="U13" s="26"/>
      <c r="V13" s="26"/>
      <c r="W13" s="26"/>
      <c r="X13" s="26"/>
      <c r="Y13" s="26"/>
      <c r="Z13" s="26"/>
      <c r="AA13" s="26"/>
    </row>
    <row r="14" spans="1:27" ht="15" customHeight="1" x14ac:dyDescent="0.2">
      <c r="F14" s="316" t="s">
        <v>2244</v>
      </c>
      <c r="G14" s="224">
        <f>((W14*5))</f>
        <v>600</v>
      </c>
      <c r="H14" s="292" t="s">
        <v>2235</v>
      </c>
      <c r="U14" s="26"/>
      <c r="V14" s="26"/>
      <c r="W14" s="325" t="str">
        <f>IF(G11&lt;10,"120",IF(AND(G11&gt;=10,G11&lt;20),"80",IF(AND(G11&gt;=20,G11&lt;50),"40",0)))</f>
        <v>120</v>
      </c>
      <c r="X14" s="26" t="s">
        <v>649</v>
      </c>
      <c r="Y14" s="26"/>
      <c r="Z14" s="26"/>
      <c r="AA14" s="26"/>
    </row>
    <row r="15" spans="1:27" ht="15" customHeight="1" x14ac:dyDescent="0.2">
      <c r="D15" s="275"/>
      <c r="F15" s="226" t="s">
        <v>1139</v>
      </c>
      <c r="G15" s="276">
        <f>((W15*5))/3</f>
        <v>250</v>
      </c>
      <c r="H15" s="292" t="str">
        <f>"g/planta de "&amp;Y15&amp;"."</f>
        <v>g/planta de 20-00-15.</v>
      </c>
      <c r="U15" s="26"/>
      <c r="V15" s="26"/>
      <c r="W15" s="171">
        <v>150</v>
      </c>
      <c r="X15" s="26" t="s">
        <v>650</v>
      </c>
      <c r="Y15" s="273" t="str">
        <f>IF(G12&lt;60,"20-00-30",IF(AND(G12&gt;=60,G12&lt;120),"20-00-20",IF(AND(G12&gt;=120,G12&lt;200),"20-00-15",IF(AND(G12&gt;=200,G12&lt;280),"20-00-10","Sulfato de Amônio"))))</f>
        <v>20-00-15</v>
      </c>
      <c r="Z15" s="26"/>
      <c r="AA15" s="26"/>
    </row>
    <row r="16" spans="1:27" ht="15" customHeight="1" x14ac:dyDescent="0.2">
      <c r="I16" s="279"/>
      <c r="U16" s="26"/>
      <c r="V16" s="26"/>
      <c r="W16" s="26"/>
      <c r="X16" s="26"/>
      <c r="Y16" s="26"/>
      <c r="Z16" s="26"/>
      <c r="AA16" s="26"/>
    </row>
    <row r="17" spans="4:27" ht="15" customHeight="1" x14ac:dyDescent="0.25">
      <c r="D17" s="164" t="s">
        <v>1952</v>
      </c>
      <c r="E17" s="34"/>
      <c r="H17" s="263"/>
      <c r="I17" s="263"/>
      <c r="J17" s="27"/>
      <c r="K17" s="27"/>
      <c r="L17" s="27"/>
      <c r="U17" s="26"/>
      <c r="V17" s="26"/>
      <c r="W17" s="26"/>
      <c r="X17" s="26"/>
      <c r="Y17" s="26"/>
      <c r="Z17" s="26"/>
      <c r="AA17" s="26"/>
    </row>
    <row r="18" spans="4:27" ht="15" customHeight="1" x14ac:dyDescent="0.2">
      <c r="D18" s="49" t="s">
        <v>1703</v>
      </c>
      <c r="G18" s="237">
        <v>30</v>
      </c>
      <c r="H18" s="49" t="s">
        <v>1953</v>
      </c>
      <c r="N18" s="280"/>
      <c r="U18" s="26"/>
      <c r="V18" s="26"/>
      <c r="W18" s="26"/>
      <c r="X18" s="26"/>
      <c r="Y18" s="26"/>
      <c r="Z18" s="26"/>
      <c r="AA18" s="26"/>
    </row>
    <row r="19" spans="4:27" ht="15" customHeight="1" x14ac:dyDescent="0.2">
      <c r="G19" s="237">
        <v>150</v>
      </c>
      <c r="H19" s="49" t="s">
        <v>1933</v>
      </c>
      <c r="U19" s="26"/>
      <c r="V19" s="26"/>
      <c r="W19" s="26"/>
      <c r="X19" s="26"/>
      <c r="Y19" s="26"/>
      <c r="Z19" s="26"/>
      <c r="AA19" s="26"/>
    </row>
    <row r="20" spans="4:27" ht="15" customHeight="1" x14ac:dyDescent="0.2">
      <c r="U20" s="26"/>
      <c r="V20" s="26"/>
      <c r="W20" s="26"/>
      <c r="X20" s="26"/>
      <c r="Y20" s="26"/>
      <c r="Z20" s="26"/>
      <c r="AA20" s="26"/>
    </row>
    <row r="21" spans="4:27" ht="15" customHeight="1" x14ac:dyDescent="0.2">
      <c r="F21" s="316" t="s">
        <v>2244</v>
      </c>
      <c r="G21" s="224">
        <f>((W21*5))</f>
        <v>300</v>
      </c>
      <c r="H21" s="292" t="s">
        <v>2235</v>
      </c>
      <c r="U21" s="26"/>
      <c r="V21" s="26"/>
      <c r="W21" s="325" t="str">
        <f>IF(G18&lt;10,"180",IF(AND(G18&gt;=10,G18&lt;20),"120",IF(AND(G18&gt;=20,G18&lt;50),"60",0)))</f>
        <v>60</v>
      </c>
      <c r="X21" s="26" t="s">
        <v>649</v>
      </c>
      <c r="Y21" s="26"/>
      <c r="Z21" s="26"/>
      <c r="AA21" s="26"/>
    </row>
    <row r="22" spans="4:27" ht="15" customHeight="1" x14ac:dyDescent="0.2">
      <c r="D22" s="275"/>
      <c r="F22" s="226" t="s">
        <v>1139</v>
      </c>
      <c r="G22" s="276">
        <f>((W22*5))/3</f>
        <v>400</v>
      </c>
      <c r="H22" s="292" t="str">
        <f>"g/planta de "&amp;Y22&amp;"."</f>
        <v>g/planta de 20-00-15.</v>
      </c>
      <c r="U22" s="26"/>
      <c r="V22" s="26"/>
      <c r="W22" s="171">
        <v>240</v>
      </c>
      <c r="X22" s="26" t="s">
        <v>650</v>
      </c>
      <c r="Y22" s="273" t="str">
        <f>IF(G19&lt;60,"20-00-30",IF(AND(G19&gt;=60,G19&lt;120),"20-00-20",IF(AND(G19&gt;=120,G19&lt;200),"20-00-15",IF(AND(G19&gt;=200,G19&lt;280),"20-00-10","Sulfato de Amônio"))))</f>
        <v>20-00-15</v>
      </c>
      <c r="Z22" s="26"/>
      <c r="AA22" s="26"/>
    </row>
    <row r="23" spans="4:27" ht="15" customHeight="1" x14ac:dyDescent="0.2">
      <c r="I23" s="279"/>
      <c r="U23" s="26"/>
      <c r="V23" s="26"/>
      <c r="W23" s="26"/>
      <c r="X23" s="26"/>
      <c r="Y23" s="26"/>
      <c r="Z23" s="26"/>
      <c r="AA23" s="26"/>
    </row>
    <row r="24" spans="4:27" ht="15" customHeight="1" x14ac:dyDescent="0.25">
      <c r="D24" s="282" t="s">
        <v>1941</v>
      </c>
      <c r="E24" s="281"/>
      <c r="F24" s="281"/>
      <c r="G24" s="281"/>
      <c r="H24" s="283"/>
      <c r="I24" s="283"/>
      <c r="J24" s="283"/>
      <c r="U24" s="26"/>
      <c r="V24" s="26"/>
      <c r="W24" s="26"/>
      <c r="X24" s="26"/>
      <c r="Y24" s="26"/>
      <c r="Z24" s="26"/>
      <c r="AA24" s="26"/>
    </row>
    <row r="25" spans="4:27" ht="15" customHeight="1" x14ac:dyDescent="0.2">
      <c r="D25" s="49" t="s">
        <v>1703</v>
      </c>
      <c r="F25" s="283"/>
      <c r="G25" s="237">
        <v>20</v>
      </c>
      <c r="H25" s="49" t="s">
        <v>1929</v>
      </c>
      <c r="I25" s="283"/>
      <c r="J25" s="283"/>
      <c r="U25" s="26"/>
      <c r="V25" s="26"/>
      <c r="W25" s="26"/>
      <c r="X25" s="26"/>
      <c r="Y25" s="26"/>
      <c r="Z25" s="26"/>
      <c r="AA25" s="26"/>
    </row>
    <row r="26" spans="4:27" ht="15" customHeight="1" x14ac:dyDescent="0.2">
      <c r="F26" s="275"/>
      <c r="G26" s="5">
        <v>7</v>
      </c>
      <c r="H26" s="49" t="s">
        <v>1934</v>
      </c>
      <c r="I26" s="272"/>
      <c r="J26" s="272"/>
      <c r="U26" s="26"/>
      <c r="V26" s="26"/>
      <c r="W26" s="26"/>
      <c r="X26" s="26"/>
      <c r="Y26" s="26"/>
      <c r="Z26" s="26"/>
      <c r="AA26" s="26"/>
    </row>
    <row r="27" spans="4:27" ht="15" customHeight="1" x14ac:dyDescent="0.2">
      <c r="F27" s="283"/>
      <c r="G27" s="281"/>
      <c r="H27" s="298"/>
      <c r="I27" s="283"/>
      <c r="J27" s="283"/>
    </row>
    <row r="28" spans="4:27" ht="15" customHeight="1" x14ac:dyDescent="0.2">
      <c r="D28" s="273" t="s">
        <v>340</v>
      </c>
      <c r="E28" s="263"/>
      <c r="F28" s="283"/>
      <c r="G28" s="237">
        <v>80</v>
      </c>
      <c r="H28" s="49" t="s">
        <v>341</v>
      </c>
      <c r="I28" s="283"/>
      <c r="J28" s="283"/>
    </row>
    <row r="29" spans="4:27" ht="15" customHeight="1" x14ac:dyDescent="0.2">
      <c r="D29" s="281"/>
      <c r="E29" s="281"/>
      <c r="F29" s="281"/>
      <c r="G29" s="281"/>
      <c r="H29" s="281"/>
      <c r="I29" s="281"/>
      <c r="J29" s="281"/>
      <c r="K29" s="281"/>
      <c r="L29" s="281"/>
      <c r="M29" s="281"/>
    </row>
    <row r="30" spans="4:27" ht="15" customHeight="1" x14ac:dyDescent="0.2">
      <c r="D30" s="273" t="s">
        <v>1708</v>
      </c>
      <c r="E30" s="283"/>
      <c r="G30" s="286">
        <f>IF(( G26*(70-G25)/G28)&gt;0, G26*(70-G25)/G28,0)</f>
        <v>4.375</v>
      </c>
      <c r="H30" s="273" t="s">
        <v>1878</v>
      </c>
      <c r="I30" s="281"/>
      <c r="J30" s="281"/>
      <c r="K30" s="281"/>
      <c r="L30" s="281"/>
      <c r="M30" s="281"/>
    </row>
    <row r="31" spans="4:27" ht="15" customHeight="1" x14ac:dyDescent="0.2">
      <c r="D31" s="275"/>
      <c r="E31" s="281"/>
      <c r="F31" s="281"/>
      <c r="G31" s="281"/>
      <c r="H31" s="283"/>
      <c r="I31" s="283"/>
      <c r="J31" s="283"/>
      <c r="K31" s="283"/>
      <c r="L31" s="283"/>
      <c r="M31" s="283"/>
      <c r="N31" s="281"/>
    </row>
    <row r="32" spans="4:27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ht="15" customHeight="1" x14ac:dyDescent="0.2"/>
    <row r="38" spans="4:7" ht="15" customHeight="1" x14ac:dyDescent="0.2"/>
    <row r="39" spans="4:7" ht="15" customHeight="1" x14ac:dyDescent="0.2"/>
    <row r="40" spans="4:7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4:7" ht="15" customHeight="1" x14ac:dyDescent="0.2"/>
  </sheetData>
  <sheetProtection algorithmName="SHA-512" hashValue="8Sfh7xb07Y+xseLzrp7TAJHxHItnNICCqNmtum+WMQVkJ5UJDzdStYZu25tu2PwR7tBYd0XVhzln23SkcbtLbg==" saltValue="onq2uv9aklQ4vUv8Vzz6aw==" spinCount="100000" sheet="1" objects="1" scenarios="1" selectLockedCells="1"/>
  <mergeCells count="3">
    <mergeCell ref="E40:F40"/>
    <mergeCell ref="C6:N6"/>
    <mergeCell ref="E8:M8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3">
    <pageSetUpPr fitToPage="1"/>
  </sheetPr>
  <dimension ref="A1:AA74"/>
  <sheetViews>
    <sheetView showGridLines="0" showRowColHeaders="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2122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>
      <c r="D10" s="266" t="s">
        <v>671</v>
      </c>
      <c r="G10" s="237">
        <v>10</v>
      </c>
      <c r="H10" s="60" t="s">
        <v>2070</v>
      </c>
      <c r="I10" s="237">
        <v>10</v>
      </c>
      <c r="J10" s="60" t="s">
        <v>2069</v>
      </c>
      <c r="K10" s="265">
        <f>10000/(G10*I10)</f>
        <v>100</v>
      </c>
      <c r="L10" s="281" t="s">
        <v>353</v>
      </c>
    </row>
    <row r="11" spans="1:16" s="60" customFormat="1" ht="15" customHeight="1" x14ac:dyDescent="0.2">
      <c r="D11" s="267" t="s">
        <v>646</v>
      </c>
      <c r="E11" s="267"/>
      <c r="G11" s="237">
        <v>200</v>
      </c>
      <c r="H11" s="60" t="s">
        <v>2257</v>
      </c>
      <c r="I11" s="265" t="s">
        <v>672</v>
      </c>
      <c r="J11" s="265">
        <f>G11/K10</f>
        <v>2</v>
      </c>
      <c r="K11" s="60" t="s">
        <v>575</v>
      </c>
    </row>
    <row r="12" spans="1:16" s="60" customFormat="1" ht="15" customHeight="1" x14ac:dyDescent="0.2">
      <c r="D12" s="266" t="s">
        <v>655</v>
      </c>
      <c r="G12" s="237">
        <v>25</v>
      </c>
      <c r="H12" s="266" t="s">
        <v>1482</v>
      </c>
    </row>
    <row r="13" spans="1:16" s="60" customFormat="1" ht="15" customHeight="1" x14ac:dyDescent="0.2">
      <c r="D13" s="266"/>
      <c r="F13" s="263"/>
      <c r="G13" s="266"/>
    </row>
    <row r="14" spans="1:16" s="60" customFormat="1" ht="15" customHeight="1" x14ac:dyDescent="0.2">
      <c r="D14" s="49" t="s">
        <v>1703</v>
      </c>
      <c r="E14" s="266"/>
      <c r="F14" s="266"/>
      <c r="G14" s="237">
        <v>25</v>
      </c>
      <c r="H14" s="49" t="s">
        <v>1953</v>
      </c>
      <c r="I14" s="266"/>
      <c r="J14" s="266"/>
      <c r="M14" s="266"/>
      <c r="N14" s="266"/>
    </row>
    <row r="15" spans="1:16" s="60" customFormat="1" ht="15" customHeight="1" x14ac:dyDescent="0.2">
      <c r="D15" s="266"/>
      <c r="E15" s="34"/>
      <c r="F15" s="49"/>
      <c r="G15" s="237">
        <v>150</v>
      </c>
      <c r="H15" s="49" t="s">
        <v>1933</v>
      </c>
      <c r="I15" s="266"/>
      <c r="J15" s="266"/>
      <c r="M15" s="266"/>
      <c r="N15" s="266"/>
      <c r="O15" s="266"/>
      <c r="P15" s="266"/>
    </row>
    <row r="16" spans="1:16" s="60" customFormat="1" ht="15" customHeight="1" x14ac:dyDescent="0.2">
      <c r="D16" s="266"/>
      <c r="E16" s="49"/>
      <c r="F16" s="49"/>
      <c r="G16" s="237">
        <v>20</v>
      </c>
      <c r="H16" s="273" t="s">
        <v>1929</v>
      </c>
      <c r="I16" s="266"/>
      <c r="J16" s="266"/>
      <c r="M16" s="266"/>
      <c r="N16" s="266"/>
      <c r="O16" s="266"/>
      <c r="P16" s="266"/>
    </row>
    <row r="17" spans="4:27" s="60" customFormat="1" ht="15" customHeight="1" x14ac:dyDescent="0.2">
      <c r="D17" s="266"/>
      <c r="E17" s="266"/>
      <c r="F17" s="266"/>
      <c r="G17" s="5">
        <v>7</v>
      </c>
      <c r="H17" s="273" t="s">
        <v>1934</v>
      </c>
      <c r="I17" s="266"/>
      <c r="J17" s="266"/>
      <c r="M17" s="266"/>
      <c r="N17" s="266"/>
      <c r="O17" s="266"/>
      <c r="P17" s="266"/>
    </row>
    <row r="18" spans="4:27" s="60" customFormat="1" ht="15" customHeight="1" x14ac:dyDescent="0.2">
      <c r="D18" s="266"/>
      <c r="E18" s="266"/>
      <c r="F18" s="266"/>
      <c r="G18" s="271"/>
      <c r="H18" s="275"/>
      <c r="I18" s="266"/>
      <c r="J18" s="266"/>
      <c r="M18" s="266"/>
      <c r="N18" s="266"/>
      <c r="O18" s="266"/>
      <c r="P18" s="266"/>
    </row>
    <row r="19" spans="4:27" s="60" customFormat="1" ht="15" customHeight="1" x14ac:dyDescent="0.2">
      <c r="D19" s="273" t="s">
        <v>340</v>
      </c>
      <c r="E19" s="266"/>
      <c r="F19" s="266"/>
      <c r="G19" s="237">
        <v>90</v>
      </c>
      <c r="H19" s="273" t="s">
        <v>341</v>
      </c>
      <c r="I19" s="266"/>
      <c r="J19" s="266"/>
      <c r="M19" s="266"/>
      <c r="N19" s="266"/>
      <c r="O19" s="266"/>
      <c r="P19" s="266"/>
    </row>
    <row r="20" spans="4:27" s="60" customFormat="1" ht="15" customHeight="1" x14ac:dyDescent="0.2">
      <c r="D20" s="266"/>
      <c r="F20" s="266"/>
      <c r="G20" s="271"/>
      <c r="H20" s="266"/>
      <c r="I20" s="266"/>
      <c r="J20" s="266"/>
      <c r="K20" s="266"/>
      <c r="L20" s="266"/>
      <c r="M20" s="266"/>
      <c r="N20" s="266"/>
      <c r="O20" s="266"/>
      <c r="P20" s="266"/>
    </row>
    <row r="21" spans="4:27" s="60" customFormat="1" ht="15" customHeight="1" x14ac:dyDescent="0.25">
      <c r="D21" s="326" t="s">
        <v>350</v>
      </c>
      <c r="E21" s="263"/>
      <c r="F21" s="266"/>
      <c r="G21" s="271"/>
      <c r="H21" s="266"/>
      <c r="N21" s="266"/>
      <c r="O21" s="266"/>
      <c r="P21" s="266"/>
    </row>
    <row r="22" spans="4:27" s="60" customFormat="1" ht="15" customHeight="1" x14ac:dyDescent="0.2">
      <c r="D22" s="222" t="s">
        <v>573</v>
      </c>
      <c r="E22" s="263"/>
      <c r="F22" s="266"/>
      <c r="G22" s="271"/>
      <c r="H22" s="266"/>
      <c r="I22" s="266"/>
      <c r="J22" s="266"/>
      <c r="K22" s="266"/>
      <c r="L22" s="266"/>
      <c r="M22" s="266"/>
      <c r="N22" s="266"/>
      <c r="O22" s="266"/>
      <c r="P22" s="266"/>
    </row>
    <row r="23" spans="4:27" s="60" customFormat="1" ht="15" customHeight="1" x14ac:dyDescent="0.2">
      <c r="D23" s="273" t="s">
        <v>1708</v>
      </c>
      <c r="E23" s="224"/>
      <c r="F23" s="280"/>
      <c r="G23" s="286">
        <f>IF((G17*(70-G16)/G19)&gt;0,G17*(70-G16)/G19,0)</f>
        <v>3.8888888888888888</v>
      </c>
      <c r="H23" s="273" t="s">
        <v>2258</v>
      </c>
      <c r="I23" s="266"/>
      <c r="J23" s="266"/>
      <c r="K23" s="266"/>
      <c r="L23" s="266"/>
      <c r="M23" s="266"/>
      <c r="N23" s="266"/>
      <c r="O23" s="266"/>
      <c r="P23" s="266"/>
    </row>
    <row r="24" spans="4:27" s="60" customFormat="1" ht="15" customHeight="1" x14ac:dyDescent="0.2">
      <c r="D24" s="266"/>
      <c r="E24" s="281"/>
      <c r="F24" s="281"/>
      <c r="G24" s="271"/>
      <c r="H24" s="266"/>
      <c r="I24" s="266"/>
      <c r="J24" s="266"/>
      <c r="K24" s="266"/>
      <c r="L24" s="266"/>
      <c r="M24" s="266"/>
      <c r="N24" s="266"/>
      <c r="O24" s="266"/>
      <c r="P24" s="266"/>
    </row>
    <row r="25" spans="4:27" s="60" customFormat="1" ht="15" customHeight="1" x14ac:dyDescent="0.2">
      <c r="D25" s="320" t="s">
        <v>2062</v>
      </c>
      <c r="E25" s="281"/>
      <c r="F25" s="281"/>
      <c r="G25" s="271"/>
      <c r="H25" s="283"/>
      <c r="I25" s="266"/>
      <c r="J25" s="266"/>
      <c r="K25" s="266"/>
      <c r="L25" s="266"/>
      <c r="M25" s="266"/>
      <c r="N25" s="266"/>
      <c r="O25" s="266"/>
      <c r="P25" s="266"/>
    </row>
    <row r="26" spans="4:27" s="60" customFormat="1" ht="15" customHeight="1" x14ac:dyDescent="0.2">
      <c r="D26" s="266"/>
      <c r="E26" s="266"/>
      <c r="F26" s="225" t="s">
        <v>637</v>
      </c>
      <c r="G26" s="224">
        <f>1000*((W26*5)/K10)</f>
        <v>3000</v>
      </c>
      <c r="H26" s="292" t="s">
        <v>2235</v>
      </c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656">
        <f>IF(G14&lt;10,100,IF(AND(G14&gt;=10,G14&lt;20),80,IF(AND(G14&gt;=20,G14&lt;30),60,0)))</f>
        <v>60</v>
      </c>
      <c r="X26" s="292" t="s">
        <v>651</v>
      </c>
      <c r="Y26" s="292"/>
      <c r="Z26" s="266"/>
      <c r="AA26" s="266"/>
    </row>
    <row r="27" spans="4:27" s="60" customFormat="1" ht="15" customHeight="1" x14ac:dyDescent="0.2">
      <c r="D27" s="266"/>
      <c r="E27" s="266"/>
      <c r="F27" s="226" t="s">
        <v>1139</v>
      </c>
      <c r="G27" s="276">
        <f>1000*((W27*5)/K10)/3</f>
        <v>1000</v>
      </c>
      <c r="H27" s="292" t="str">
        <f>"g/planta de "&amp;Y27&amp;"."</f>
        <v>g/planta de 20-00-15.</v>
      </c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92">
        <f>IF(G12&lt;20,50,IF(AND(G12&gt;=20,G12&lt;35),60,IF(AND(G12&gt;=35,G12&lt;50),80,IF(AND(G12&gt;=50,G12&lt;65),100,120))))</f>
        <v>60</v>
      </c>
      <c r="X27" s="292" t="s">
        <v>652</v>
      </c>
      <c r="Y27" s="292" t="str">
        <f>IF(G15&lt;60,"20-00-30",IF(AND(G15&gt;=60,G15&lt;120),"20-00-20",IF(AND(G15&gt;=120,G15&lt;200),"20-00-15",IF(AND(G15&gt;=200,G15&lt;280),"20-00-10","Sulfato de Amônio"))))</f>
        <v>20-00-15</v>
      </c>
      <c r="Z27" s="266"/>
      <c r="AA27" s="266"/>
    </row>
    <row r="28" spans="4:27" ht="15" customHeight="1" x14ac:dyDescent="0.2">
      <c r="F28" s="280"/>
      <c r="H28" s="263"/>
      <c r="I28" s="263"/>
      <c r="J28" s="263"/>
      <c r="K28" s="27"/>
      <c r="L28" s="27"/>
      <c r="M28" s="27"/>
      <c r="N28" s="27"/>
    </row>
    <row r="29" spans="4:27" ht="15" customHeight="1" x14ac:dyDescent="0.2">
      <c r="E29" s="219" t="s">
        <v>647</v>
      </c>
      <c r="K29" s="27"/>
      <c r="L29" s="27"/>
      <c r="M29" s="272"/>
      <c r="N29" s="272"/>
      <c r="O29" s="272"/>
      <c r="P29" s="272"/>
      <c r="Q29" s="289"/>
      <c r="R29" s="281"/>
    </row>
    <row r="30" spans="4:27" ht="15" customHeight="1" x14ac:dyDescent="0.2">
      <c r="D30" s="27"/>
      <c r="E30" s="216" t="s">
        <v>574</v>
      </c>
      <c r="F30" s="576"/>
      <c r="G30" s="216"/>
      <c r="H30" s="255" t="s">
        <v>575</v>
      </c>
      <c r="I30" s="217"/>
      <c r="J30" s="255" t="str">
        <f>"Área do talhão: "&amp;J11&amp;" ha"</f>
        <v>Área do talhão: 2 ha</v>
      </c>
      <c r="K30" s="255"/>
      <c r="L30" s="283"/>
      <c r="M30" s="283"/>
      <c r="N30" s="283"/>
      <c r="O30" s="283"/>
      <c r="P30" s="283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</row>
    <row r="31" spans="4:27" ht="15" customHeight="1" x14ac:dyDescent="0.2">
      <c r="D31" s="27"/>
      <c r="E31" s="27" t="s">
        <v>394</v>
      </c>
      <c r="F31" s="27"/>
      <c r="G31" s="281"/>
      <c r="H31" s="218">
        <f>((G27*3)*K10)/50000</f>
        <v>6</v>
      </c>
      <c r="I31" s="263"/>
      <c r="J31" s="218">
        <f>H31*J11</f>
        <v>12</v>
      </c>
      <c r="K31" s="218"/>
      <c r="L31" s="283"/>
      <c r="M31" s="283"/>
      <c r="N31" s="27"/>
      <c r="O31" s="283"/>
      <c r="P31" s="283"/>
      <c r="Q31" s="281"/>
      <c r="R31" s="686"/>
      <c r="S31" s="281"/>
      <c r="T31" s="281"/>
      <c r="U31" s="281"/>
      <c r="V31" s="281"/>
      <c r="W31" s="281"/>
      <c r="X31" s="281"/>
      <c r="Y31" s="281"/>
      <c r="Z31" s="281"/>
      <c r="AA31" s="281"/>
    </row>
    <row r="32" spans="4:27" s="281" customFormat="1" ht="15" customHeight="1" x14ac:dyDescent="0.2">
      <c r="D32" s="283"/>
      <c r="E32" s="27" t="s">
        <v>395</v>
      </c>
      <c r="F32" s="27"/>
      <c r="H32" s="218">
        <f>(G26*K10)/50000</f>
        <v>6</v>
      </c>
      <c r="I32" s="263"/>
      <c r="J32" s="218">
        <f>(H32*J11)</f>
        <v>12</v>
      </c>
      <c r="K32" s="218"/>
      <c r="L32" s="218"/>
      <c r="M32" s="263"/>
      <c r="N32" s="263"/>
      <c r="O32" s="283"/>
      <c r="P32" s="283"/>
    </row>
    <row r="33" spans="4:27" s="281" customFormat="1" ht="15" customHeight="1" x14ac:dyDescent="0.2">
      <c r="D33" s="283"/>
      <c r="E33" s="157" t="s">
        <v>396</v>
      </c>
      <c r="F33" s="157"/>
      <c r="G33" s="507"/>
      <c r="H33" s="341">
        <f>(G23*1000)/50</f>
        <v>77.777777777777771</v>
      </c>
      <c r="I33" s="343"/>
      <c r="J33" s="341">
        <f>H33*J11</f>
        <v>155.55555555555554</v>
      </c>
      <c r="K33" s="341"/>
      <c r="L33" s="218"/>
      <c r="M33" s="263"/>
      <c r="N33" s="263"/>
      <c r="O33" s="283"/>
      <c r="P33" s="283"/>
    </row>
    <row r="34" spans="4:27" s="281" customFormat="1" ht="15" customHeight="1" thickBot="1" x14ac:dyDescent="0.25">
      <c r="M34" s="263"/>
      <c r="N34" s="263"/>
      <c r="O34" s="283"/>
      <c r="P34" s="283"/>
    </row>
    <row r="35" spans="4:27" s="281" customFormat="1" ht="15" customHeight="1" thickTop="1" thickBot="1" x14ac:dyDescent="0.25">
      <c r="D35" s="219" t="s">
        <v>2259</v>
      </c>
      <c r="G35" s="861" t="str">
        <f>HYPERLINK("#"&amp;"'RecomendacaoMicro'!h1","Recomendação de Micronutrientes")</f>
        <v>Recomendação de Micronutrientes</v>
      </c>
      <c r="H35" s="861"/>
      <c r="I35" s="861"/>
      <c r="J35" s="861"/>
      <c r="K35" s="861"/>
      <c r="O35" s="283"/>
      <c r="P35" s="283"/>
    </row>
    <row r="36" spans="4:27" s="281" customFormat="1" ht="15" customHeight="1" thickTop="1" x14ac:dyDescent="0.2">
      <c r="K36" s="218"/>
      <c r="L36" s="218"/>
      <c r="M36" s="263"/>
      <c r="N36" s="263"/>
      <c r="O36" s="283"/>
      <c r="P36" s="283"/>
    </row>
    <row r="37" spans="4:27" s="281" customFormat="1" ht="15" customHeight="1" x14ac:dyDescent="0.2">
      <c r="D37" s="169"/>
      <c r="E37" s="266"/>
      <c r="F37" s="266"/>
      <c r="G37" s="266"/>
      <c r="H37" s="272"/>
      <c r="I37" s="266"/>
      <c r="J37" s="266"/>
      <c r="K37" s="27"/>
      <c r="L37" s="27"/>
      <c r="M37" s="27"/>
      <c r="N37" s="27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</row>
    <row r="38" spans="4:27" ht="15" customHeight="1" x14ac:dyDescent="0.2"/>
    <row r="39" spans="4:27" ht="15" customHeight="1" x14ac:dyDescent="0.2"/>
    <row r="40" spans="4:27" ht="15" customHeight="1" x14ac:dyDescent="0.2"/>
    <row r="41" spans="4:27" ht="15" customHeight="1" x14ac:dyDescent="0.2"/>
    <row r="42" spans="4:27" ht="15" customHeight="1" x14ac:dyDescent="0.2"/>
    <row r="43" spans="4:27" ht="15" customHeight="1" x14ac:dyDescent="0.2"/>
    <row r="44" spans="4:27" ht="15" customHeight="1" x14ac:dyDescent="0.2"/>
    <row r="45" spans="4:27" ht="15" customHeight="1" x14ac:dyDescent="0.2">
      <c r="D45" s="226" t="s">
        <v>891</v>
      </c>
      <c r="E45" s="717">
        <f ca="1">TODAY()</f>
        <v>45064</v>
      </c>
      <c r="F45" s="714"/>
      <c r="G45" s="60" t="s">
        <v>373</v>
      </c>
    </row>
    <row r="46" spans="4:27" ht="15" customHeight="1" x14ac:dyDescent="0.2"/>
    <row r="47" spans="4:27" ht="15" hidden="1" customHeight="1" x14ac:dyDescent="0.2"/>
    <row r="48" spans="4:2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</sheetData>
  <sheetProtection algorithmName="SHA-512" hashValue="JqlzVdvTYNilOjnZL0F/yaoPX2cqyzGobuw9na3LMo3odlY1syxd4fUNKSMGsZOszNiOUcRFgPDyRhJKwhEW/g==" saltValue="/GLkvVVVE78GrMFcufs3hA==" spinCount="100000" sheet="1" objects="1" scenarios="1" selectLockedCells="1"/>
  <mergeCells count="4">
    <mergeCell ref="G35:K35"/>
    <mergeCell ref="E8:M8"/>
    <mergeCell ref="E45:F45"/>
    <mergeCell ref="C6:N6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colBreaks count="1" manualBreakCount="1">
    <brk id="11" max="1048575" man="1"/>
  </col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6">
    <pageSetUpPr fitToPage="1"/>
  </sheetPr>
  <dimension ref="A1:P26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2263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52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HYPERLINK("#"&amp;"'Macadamia1a2'!h1","Formação - 1 a 2 anos")</f>
        <v>Formação - 1 a 2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HYPERLINK("#"&amp;"'Macadamia3a4'!H1","Formação - 3 a 4 anos")</f>
        <v>Formação - 3 a 4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HYPERLINK("#"&amp;"'MacadamiaProd'!h1","Produção (5° ano em diante)")</f>
        <v>Produção (5° ano em diante)</v>
      </c>
      <c r="G12" s="711"/>
      <c r="H12" s="711"/>
      <c r="I12" s="711"/>
      <c r="J12" s="711"/>
    </row>
    <row r="13" spans="1:16" s="32" customFormat="1" ht="24.95" customHeight="1" thickTop="1" thickBot="1" x14ac:dyDescent="0.4">
      <c r="F13" s="711" t="str">
        <f>HYPERLINK("#"&amp;"'MacadamiaCusteio'!h1","Custeio Macadâmia")</f>
        <v>Custeio Macadâmia</v>
      </c>
      <c r="G13" s="711"/>
      <c r="H13" s="711"/>
      <c r="I13" s="711"/>
      <c r="J13" s="711"/>
    </row>
    <row r="14" spans="1:16" ht="24.95" customHeight="1" thickTop="1" x14ac:dyDescent="0.2">
      <c r="D14" s="53"/>
      <c r="E14" s="53"/>
    </row>
    <row r="15" spans="1:16" ht="24.95" customHeight="1" x14ac:dyDescent="0.2"/>
    <row r="16" spans="1:16" ht="24.95" hidden="1" customHeight="1" x14ac:dyDescent="0.2"/>
    <row r="17" ht="24.95" hidden="1" customHeight="1" x14ac:dyDescent="0.2"/>
    <row r="18" ht="24.95" hidden="1" customHeight="1" x14ac:dyDescent="0.2"/>
    <row r="19" ht="24.95" hidden="1" customHeight="1" x14ac:dyDescent="0.2"/>
    <row r="20" ht="24.95" hidden="1" customHeight="1" x14ac:dyDescent="0.2"/>
    <row r="21" ht="24.95" hidden="1" customHeight="1" x14ac:dyDescent="0.2"/>
    <row r="22" ht="24.95" hidden="1" customHeight="1" x14ac:dyDescent="0.2"/>
    <row r="23" ht="24.95" hidden="1" customHeight="1" x14ac:dyDescent="0.2"/>
    <row r="24" ht="24.95" hidden="1" customHeight="1" x14ac:dyDescent="0.2"/>
    <row r="25" ht="24.95" hidden="1" customHeight="1" x14ac:dyDescent="0.2"/>
    <row r="26" ht="24.95" hidden="1" customHeight="1" x14ac:dyDescent="0.2"/>
  </sheetData>
  <sheetProtection algorithmName="SHA-512" hashValue="vufGh3Ty9MKRyEsN6zzKyUklbhnHb85pF/AhQrAR+YR/AZmVnOgsuCWA+wERRUNjjO+jEHowhxpmN2/x8A79mw==" saltValue="DkNmpajtuL7PPpNFvjdPpw==" spinCount="100000" sheet="1" objects="1" scenarios="1"/>
  <mergeCells count="7">
    <mergeCell ref="F12:J12"/>
    <mergeCell ref="F13:J13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pageSetUpPr fitToPage="1"/>
  </sheetPr>
  <dimension ref="A1:P38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2.75" zeroHeight="1" x14ac:dyDescent="0.2"/>
  <cols>
    <col min="1" max="7" width="9.140625" style="266" customWidth="1"/>
    <col min="8" max="8" width="9.140625" style="265" customWidth="1"/>
    <col min="9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A6" s="107"/>
      <c r="B6" s="107"/>
      <c r="C6" s="107"/>
      <c r="D6" s="107"/>
      <c r="E6" s="107"/>
      <c r="F6" s="107"/>
      <c r="G6" s="107"/>
      <c r="H6" s="235" t="s">
        <v>1116</v>
      </c>
      <c r="I6" s="108"/>
      <c r="J6" s="107"/>
      <c r="K6" s="107"/>
      <c r="L6" s="107"/>
      <c r="M6" s="107"/>
      <c r="N6" s="107"/>
      <c r="O6" s="107"/>
      <c r="P6" s="107"/>
    </row>
    <row r="7" spans="1:16" s="46" customFormat="1" ht="20.100000000000001" customHeight="1" x14ac:dyDescent="0.2">
      <c r="E7" s="109" t="s">
        <v>1148</v>
      </c>
      <c r="F7" s="94"/>
      <c r="G7" s="94"/>
      <c r="H7" s="94"/>
      <c r="I7" s="94"/>
      <c r="J7" s="236" t="s">
        <v>1149</v>
      </c>
      <c r="K7" s="236"/>
    </row>
    <row r="8" spans="1:16" s="46" customFormat="1" ht="20.100000000000001" customHeight="1" x14ac:dyDescent="0.2">
      <c r="E8" s="96" t="s">
        <v>1111</v>
      </c>
      <c r="F8" s="97"/>
      <c r="G8" s="110"/>
      <c r="H8" s="97"/>
      <c r="I8" s="97"/>
      <c r="J8" s="99">
        <v>90</v>
      </c>
    </row>
    <row r="9" spans="1:16" s="46" customFormat="1" ht="20.100000000000001" customHeight="1" x14ac:dyDescent="0.2">
      <c r="E9" s="96" t="s">
        <v>1112</v>
      </c>
      <c r="F9" s="97"/>
      <c r="G9" s="97"/>
      <c r="H9" s="97"/>
      <c r="I9" s="97"/>
      <c r="J9" s="99">
        <v>160</v>
      </c>
      <c r="L9" s="111"/>
    </row>
    <row r="10" spans="1:16" s="46" customFormat="1" ht="20.100000000000001" customHeight="1" x14ac:dyDescent="0.2">
      <c r="E10" s="96" t="s">
        <v>377</v>
      </c>
      <c r="F10" s="97"/>
      <c r="G10" s="112"/>
      <c r="H10" s="112"/>
      <c r="I10" s="97"/>
      <c r="J10" s="99">
        <v>150</v>
      </c>
      <c r="L10" s="111"/>
    </row>
    <row r="11" spans="1:16" s="46" customFormat="1" ht="20.100000000000001" customHeight="1" x14ac:dyDescent="0.2">
      <c r="E11" s="96" t="s">
        <v>1252</v>
      </c>
      <c r="F11" s="97"/>
      <c r="G11" s="112"/>
      <c r="H11" s="97"/>
      <c r="I11" s="97"/>
      <c r="J11" s="99">
        <v>150</v>
      </c>
      <c r="L11" s="111"/>
    </row>
    <row r="12" spans="1:16" s="46" customFormat="1" ht="20.100000000000001" customHeight="1" x14ac:dyDescent="0.2">
      <c r="E12" s="96" t="s">
        <v>508</v>
      </c>
      <c r="F12" s="97"/>
      <c r="G12" s="112"/>
      <c r="H12" s="97"/>
      <c r="I12" s="97"/>
      <c r="J12" s="99">
        <v>180</v>
      </c>
      <c r="L12" s="111"/>
    </row>
    <row r="13" spans="1:16" s="46" customFormat="1" ht="20.100000000000001" customHeight="1" x14ac:dyDescent="0.2">
      <c r="E13" s="96" t="s">
        <v>509</v>
      </c>
      <c r="F13" s="97"/>
      <c r="G13" s="112"/>
      <c r="H13" s="97"/>
      <c r="I13" s="97"/>
      <c r="J13" s="99">
        <v>80</v>
      </c>
      <c r="L13" s="111"/>
    </row>
    <row r="14" spans="1:16" s="46" customFormat="1" ht="20.100000000000001" customHeight="1" x14ac:dyDescent="0.2">
      <c r="E14" s="96" t="s">
        <v>510</v>
      </c>
      <c r="F14" s="97"/>
      <c r="G14" s="112"/>
      <c r="H14" s="112"/>
      <c r="I14" s="97"/>
      <c r="J14" s="99">
        <v>150</v>
      </c>
      <c r="L14" s="111"/>
    </row>
    <row r="15" spans="1:16" s="46" customFormat="1" ht="20.100000000000001" customHeight="1" x14ac:dyDescent="0.2">
      <c r="E15" s="96" t="s">
        <v>511</v>
      </c>
      <c r="F15" s="97"/>
      <c r="G15" s="112"/>
      <c r="H15" s="97"/>
      <c r="I15" s="97"/>
      <c r="J15" s="99">
        <v>140</v>
      </c>
      <c r="L15" s="111"/>
      <c r="N15" s="111"/>
    </row>
    <row r="16" spans="1:16" s="46" customFormat="1" ht="20.100000000000001" customHeight="1" x14ac:dyDescent="0.2">
      <c r="E16" s="96" t="s">
        <v>143</v>
      </c>
      <c r="F16" s="97"/>
      <c r="G16" s="112"/>
      <c r="H16" s="97"/>
      <c r="I16" s="97"/>
      <c r="J16" s="99">
        <v>150</v>
      </c>
    </row>
    <row r="17" spans="5:10" s="46" customFormat="1" ht="20.100000000000001" customHeight="1" x14ac:dyDescent="0.2">
      <c r="E17" s="96" t="s">
        <v>136</v>
      </c>
      <c r="F17" s="97"/>
      <c r="G17" s="112"/>
      <c r="H17" s="97"/>
      <c r="I17" s="97"/>
      <c r="J17" s="99">
        <v>80</v>
      </c>
    </row>
    <row r="18" spans="5:10" s="46" customFormat="1" ht="20.100000000000001" customHeight="1" x14ac:dyDescent="0.2">
      <c r="E18" s="96" t="s">
        <v>1309</v>
      </c>
      <c r="F18" s="97"/>
      <c r="G18" s="112"/>
      <c r="H18" s="97"/>
      <c r="I18" s="97"/>
      <c r="J18" s="99">
        <v>150</v>
      </c>
    </row>
    <row r="19" spans="5:10" s="46" customFormat="1" ht="20.100000000000001" customHeight="1" x14ac:dyDescent="0.2">
      <c r="E19" s="96" t="s">
        <v>516</v>
      </c>
      <c r="F19" s="97"/>
      <c r="G19" s="112"/>
      <c r="H19" s="97"/>
      <c r="I19" s="97"/>
      <c r="J19" s="99">
        <v>150</v>
      </c>
    </row>
    <row r="20" spans="5:10" s="46" customFormat="1" ht="20.100000000000001" customHeight="1" x14ac:dyDescent="0.2">
      <c r="E20" s="96" t="s">
        <v>517</v>
      </c>
      <c r="F20" s="97"/>
      <c r="G20" s="112"/>
      <c r="H20" s="97"/>
      <c r="I20" s="97"/>
      <c r="J20" s="99">
        <v>70</v>
      </c>
    </row>
    <row r="21" spans="5:10" s="46" customFormat="1" ht="20.100000000000001" customHeight="1" x14ac:dyDescent="0.2">
      <c r="E21" s="96" t="s">
        <v>144</v>
      </c>
      <c r="F21" s="97"/>
      <c r="G21" s="112"/>
      <c r="H21" s="97"/>
      <c r="I21" s="97"/>
      <c r="J21" s="99">
        <v>150</v>
      </c>
    </row>
    <row r="22" spans="5:10" s="46" customFormat="1" ht="20.100000000000001" customHeight="1" x14ac:dyDescent="0.2">
      <c r="E22" s="96" t="s">
        <v>1113</v>
      </c>
      <c r="F22" s="97"/>
      <c r="G22" s="112"/>
      <c r="H22" s="97"/>
      <c r="I22" s="97"/>
      <c r="J22" s="99">
        <v>150</v>
      </c>
    </row>
    <row r="23" spans="5:10" s="46" customFormat="1" ht="20.100000000000001" customHeight="1" x14ac:dyDescent="0.2">
      <c r="E23" s="96" t="s">
        <v>1114</v>
      </c>
      <c r="F23" s="97"/>
      <c r="G23" s="112"/>
      <c r="H23" s="97"/>
      <c r="I23" s="97"/>
      <c r="J23" s="99">
        <v>150</v>
      </c>
    </row>
    <row r="24" spans="5:10" s="46" customFormat="1" ht="20.100000000000001" customHeight="1" x14ac:dyDescent="0.2">
      <c r="E24" s="96" t="s">
        <v>1351</v>
      </c>
      <c r="F24" s="97"/>
      <c r="G24" s="112"/>
      <c r="H24" s="97"/>
      <c r="I24" s="97"/>
      <c r="J24" s="99">
        <v>150</v>
      </c>
    </row>
    <row r="25" spans="5:10" s="46" customFormat="1" ht="20.100000000000001" customHeight="1" x14ac:dyDescent="0.2">
      <c r="E25" s="96" t="s">
        <v>135</v>
      </c>
      <c r="F25" s="97"/>
      <c r="G25" s="112"/>
      <c r="H25" s="97"/>
      <c r="I25" s="97"/>
      <c r="J25" s="99">
        <v>150</v>
      </c>
    </row>
    <row r="26" spans="5:10" s="46" customFormat="1" ht="20.100000000000001" customHeight="1" x14ac:dyDescent="0.2">
      <c r="E26" s="96" t="s">
        <v>524</v>
      </c>
      <c r="F26" s="97"/>
      <c r="G26" s="112"/>
      <c r="H26" s="97"/>
      <c r="I26" s="97"/>
      <c r="J26" s="99">
        <v>140</v>
      </c>
    </row>
    <row r="27" spans="5:10" s="46" customFormat="1" ht="20.100000000000001" customHeight="1" x14ac:dyDescent="0.2">
      <c r="E27" s="96" t="s">
        <v>1115</v>
      </c>
      <c r="F27" s="97"/>
      <c r="G27" s="112"/>
      <c r="H27" s="112"/>
      <c r="I27" s="97"/>
      <c r="J27" s="99">
        <v>150</v>
      </c>
    </row>
    <row r="28" spans="5:10" s="46" customFormat="1" ht="20.100000000000001" customHeight="1" x14ac:dyDescent="0.2">
      <c r="E28" s="96" t="s">
        <v>530</v>
      </c>
      <c r="F28" s="97"/>
      <c r="G28" s="112"/>
      <c r="H28" s="112"/>
      <c r="I28" s="97"/>
      <c r="J28" s="99">
        <v>150</v>
      </c>
    </row>
    <row r="29" spans="5:10" s="46" customFormat="1" ht="20.100000000000001" customHeight="1" x14ac:dyDescent="0.2">
      <c r="E29" s="96" t="s">
        <v>532</v>
      </c>
      <c r="F29" s="97"/>
      <c r="G29" s="112"/>
      <c r="H29" s="97"/>
      <c r="I29" s="97"/>
      <c r="J29" s="99">
        <v>180</v>
      </c>
    </row>
    <row r="30" spans="5:10" s="46" customFormat="1" ht="20.100000000000001" customHeight="1" x14ac:dyDescent="0.2">
      <c r="E30" s="96" t="s">
        <v>534</v>
      </c>
      <c r="F30" s="97"/>
      <c r="G30" s="112"/>
      <c r="H30" s="97"/>
      <c r="I30" s="97"/>
      <c r="J30" s="99">
        <v>160</v>
      </c>
    </row>
    <row r="31" spans="5:10" s="46" customFormat="1" ht="20.100000000000001" customHeight="1" x14ac:dyDescent="0.2">
      <c r="E31" s="96" t="s">
        <v>535</v>
      </c>
      <c r="F31" s="97"/>
      <c r="G31" s="112"/>
      <c r="H31" s="97"/>
      <c r="I31" s="97"/>
      <c r="J31" s="99">
        <v>140</v>
      </c>
    </row>
    <row r="32" spans="5:10" s="46" customFormat="1" ht="20.100000000000001" customHeight="1" x14ac:dyDescent="0.2">
      <c r="E32" s="96" t="s">
        <v>947</v>
      </c>
      <c r="F32" s="97"/>
      <c r="G32" s="112"/>
      <c r="H32" s="97"/>
      <c r="I32" s="97"/>
      <c r="J32" s="99">
        <v>150</v>
      </c>
    </row>
    <row r="33" spans="4:11" s="46" customFormat="1" ht="20.100000000000001" customHeight="1" x14ac:dyDescent="0.2">
      <c r="E33" s="96" t="s">
        <v>536</v>
      </c>
      <c r="F33" s="97"/>
      <c r="G33" s="112"/>
      <c r="H33" s="97"/>
      <c r="I33" s="97"/>
      <c r="J33" s="99">
        <v>150</v>
      </c>
    </row>
    <row r="34" spans="4:11" s="46" customFormat="1" ht="20.100000000000001" customHeight="1" x14ac:dyDescent="0.2">
      <c r="E34" s="96" t="s">
        <v>1307</v>
      </c>
      <c r="F34" s="97"/>
      <c r="G34" s="112"/>
      <c r="H34" s="97"/>
      <c r="I34" s="97"/>
      <c r="J34" s="99">
        <v>150</v>
      </c>
    </row>
    <row r="35" spans="4:11" s="46" customFormat="1" ht="20.100000000000001" customHeight="1" x14ac:dyDescent="0.2">
      <c r="E35" s="101" t="s">
        <v>639</v>
      </c>
      <c r="F35" s="102"/>
      <c r="G35" s="113"/>
      <c r="H35" s="102"/>
      <c r="I35" s="102"/>
      <c r="J35" s="104">
        <v>180</v>
      </c>
      <c r="K35" s="105"/>
    </row>
    <row r="36" spans="4:11" s="46" customFormat="1" ht="20.100000000000001" customHeight="1" x14ac:dyDescent="0.2">
      <c r="F36" s="114"/>
    </row>
    <row r="37" spans="4:11" hidden="1" x14ac:dyDescent="0.2">
      <c r="D37" s="115"/>
      <c r="F37" s="116"/>
      <c r="G37" s="116"/>
      <c r="H37" s="117"/>
      <c r="I37" s="116"/>
    </row>
    <row r="38" spans="4:11" hidden="1" x14ac:dyDescent="0.2">
      <c r="D38" s="115"/>
    </row>
  </sheetData>
  <sheetProtection algorithmName="SHA-512" hashValue="+zGHK5JjYgLi9kGnKSo/z+HCFWoT9xcTqVVfyXubdAmmrJrOyKS8F7UNTX+ha4+RaZTVZYJ5oEN8FBeArMlR1w==" saltValue="4+BP6mjF5oMg36mlMiRM+g==" spinCount="100000" sheet="1" objects="1" scenarios="1"/>
  <phoneticPr fontId="49" type="noConversion"/>
  <hyperlinks>
    <hyperlink ref="G10:H10" location="'Abóbora de moita'!C6" display="Abóbora de moita"/>
    <hyperlink ref="G14:H14" location="'Batata-Doce'!C6" display="Batata Doce"/>
    <hyperlink ref="N15" location="Plan1!A1" display="Voltar para Menu"/>
    <hyperlink ref="G27:H27" location="Macadâmia!C10" display="Macadâmia"/>
    <hyperlink ref="G28:H28" location="'Mandioquinha Salsa'!C6" display="Mandioquinha-salsa"/>
  </hyperlinks>
  <printOptions horizontalCentered="1"/>
  <pageMargins left="0.78740157480314965" right="0.78740157480314965" top="0.78740157480314965" bottom="0.78740157480314965" header="0.51181102362204722" footer="0.51181102362204722"/>
  <pageSetup paperSize="9" scale="78" orientation="portrait" horizontalDpi="4294967295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8">
    <pageSetUpPr fitToPage="1"/>
  </sheetPr>
  <dimension ref="A1:Y7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287" customFormat="1" ht="15" customHeight="1" x14ac:dyDescent="0.25">
      <c r="D10" s="164" t="s">
        <v>1858</v>
      </c>
      <c r="E10" s="34"/>
      <c r="F10" s="266"/>
      <c r="G10" s="266"/>
      <c r="H10" s="266"/>
      <c r="I10" s="266"/>
      <c r="J10" s="266"/>
      <c r="K10" s="266"/>
      <c r="L10" s="266"/>
      <c r="M10" s="266"/>
    </row>
    <row r="11" spans="1:16" ht="15" customHeight="1" x14ac:dyDescent="0.2">
      <c r="E11" s="49" t="s">
        <v>2250</v>
      </c>
    </row>
    <row r="12" spans="1:16" s="494" customFormat="1" ht="15" customHeight="1" x14ac:dyDescent="0.2">
      <c r="D12" s="266"/>
      <c r="E12" s="49" t="s">
        <v>2251</v>
      </c>
      <c r="F12" s="266"/>
      <c r="G12" s="266"/>
      <c r="H12" s="266"/>
      <c r="I12" s="266"/>
      <c r="J12" s="266"/>
      <c r="K12" s="266"/>
      <c r="L12" s="266"/>
      <c r="M12" s="266"/>
    </row>
    <row r="13" spans="1:16" s="60" customFormat="1" ht="15" customHeight="1" x14ac:dyDescent="0.2">
      <c r="D13" s="266"/>
      <c r="E13" s="49" t="s">
        <v>2256</v>
      </c>
      <c r="F13" s="266"/>
      <c r="G13" s="266"/>
      <c r="H13" s="266"/>
      <c r="I13" s="266"/>
      <c r="J13" s="266"/>
      <c r="K13" s="266"/>
      <c r="L13" s="266"/>
      <c r="M13" s="266"/>
    </row>
    <row r="14" spans="1:16" ht="15" customHeight="1" x14ac:dyDescent="0.2"/>
    <row r="15" spans="1:16" ht="15" customHeight="1" x14ac:dyDescent="0.25">
      <c r="D15" s="164" t="s">
        <v>1940</v>
      </c>
      <c r="E15" s="34"/>
    </row>
    <row r="16" spans="1:16" ht="15" customHeight="1" x14ac:dyDescent="0.2">
      <c r="D16" s="49" t="s">
        <v>1703</v>
      </c>
      <c r="G16" s="237">
        <v>5</v>
      </c>
      <c r="H16" s="171" t="s">
        <v>1953</v>
      </c>
    </row>
    <row r="17" spans="4:25" ht="15" customHeight="1" x14ac:dyDescent="0.2">
      <c r="G17" s="237">
        <v>150</v>
      </c>
      <c r="H17" s="49" t="s">
        <v>1933</v>
      </c>
    </row>
    <row r="18" spans="4:25" ht="15" customHeight="1" x14ac:dyDescent="0.2">
      <c r="E18" s="263"/>
      <c r="G18" s="237">
        <v>20</v>
      </c>
      <c r="H18" s="49" t="s">
        <v>1929</v>
      </c>
    </row>
    <row r="19" spans="4:25" ht="15" customHeight="1" x14ac:dyDescent="0.2">
      <c r="E19" s="263"/>
      <c r="G19" s="5">
        <v>7</v>
      </c>
      <c r="H19" s="49" t="s">
        <v>1934</v>
      </c>
    </row>
    <row r="20" spans="4:25" ht="15" customHeight="1" x14ac:dyDescent="0.2">
      <c r="E20" s="263"/>
      <c r="H20" s="49"/>
    </row>
    <row r="21" spans="4:25" ht="15" customHeight="1" x14ac:dyDescent="0.2">
      <c r="D21" s="273" t="s">
        <v>340</v>
      </c>
      <c r="E21" s="263"/>
      <c r="G21" s="237">
        <v>80</v>
      </c>
      <c r="H21" s="49" t="s">
        <v>341</v>
      </c>
    </row>
    <row r="22" spans="4:25" ht="15" customHeight="1" x14ac:dyDescent="0.2">
      <c r="E22" s="263"/>
      <c r="G22" s="271"/>
    </row>
    <row r="23" spans="4:25" ht="15" customHeight="1" x14ac:dyDescent="0.25">
      <c r="D23" s="326" t="s">
        <v>350</v>
      </c>
      <c r="E23" s="263"/>
      <c r="G23" s="271"/>
    </row>
    <row r="24" spans="4:25" ht="15" customHeight="1" x14ac:dyDescent="0.2">
      <c r="D24" s="222" t="s">
        <v>573</v>
      </c>
      <c r="E24" s="171"/>
      <c r="F24" s="49"/>
      <c r="G24" s="49"/>
      <c r="H24" s="49"/>
      <c r="I24" s="49"/>
      <c r="J24" s="49"/>
      <c r="K24" s="49"/>
      <c r="L24" s="49"/>
    </row>
    <row r="25" spans="4:25" ht="15" customHeight="1" x14ac:dyDescent="0.2">
      <c r="D25" s="273" t="s">
        <v>1708</v>
      </c>
      <c r="E25" s="49"/>
      <c r="F25" s="49"/>
      <c r="G25" s="286">
        <f>IF((G19*(60-G18)/G21)&gt;0,G19*(60-G18)/G21,0)</f>
        <v>3.5</v>
      </c>
      <c r="H25" s="273" t="s">
        <v>2258</v>
      </c>
      <c r="I25" s="49"/>
      <c r="J25" s="49"/>
      <c r="K25" s="49"/>
      <c r="L25" s="49"/>
    </row>
    <row r="26" spans="4:25" ht="15" customHeight="1" x14ac:dyDescent="0.2">
      <c r="D26" s="273"/>
      <c r="E26" s="49"/>
      <c r="F26" s="49"/>
      <c r="G26" s="286"/>
      <c r="H26" s="49"/>
      <c r="I26" s="49"/>
      <c r="J26" s="49"/>
      <c r="K26" s="26"/>
      <c r="L26" s="26"/>
      <c r="M26" s="26"/>
      <c r="N26" s="26"/>
      <c r="O26" s="26"/>
      <c r="P26" s="26"/>
    </row>
    <row r="27" spans="4:25" ht="15" customHeight="1" x14ac:dyDescent="0.2">
      <c r="D27" s="320" t="s">
        <v>2062</v>
      </c>
      <c r="E27" s="49"/>
      <c r="F27" s="49"/>
      <c r="G27" s="286"/>
      <c r="H27" s="273"/>
      <c r="I27" s="49"/>
      <c r="J27" s="49"/>
      <c r="K27" s="26"/>
      <c r="L27" s="26"/>
      <c r="M27" s="26"/>
      <c r="N27" s="26"/>
      <c r="O27" s="26"/>
      <c r="P27" s="26"/>
    </row>
    <row r="28" spans="4:25" ht="15" customHeight="1" x14ac:dyDescent="0.2">
      <c r="D28" s="49"/>
      <c r="E28" s="49"/>
      <c r="F28" s="316" t="s">
        <v>2244</v>
      </c>
      <c r="G28" s="224">
        <f>(W28*5)</f>
        <v>300</v>
      </c>
      <c r="H28" s="292" t="s">
        <v>2235</v>
      </c>
      <c r="I28" s="49"/>
      <c r="J28" s="49"/>
      <c r="K28" s="26"/>
      <c r="L28" s="49"/>
      <c r="O28" s="26"/>
      <c r="P28" s="26"/>
      <c r="W28" s="325">
        <f>IF(G16&lt;10,60,IF(AND(G16&gt;=10,G16&lt;20),40,IF(AND(G16&gt;=20,G16&lt;50),20,0)))</f>
        <v>60</v>
      </c>
      <c r="X28" s="26" t="s">
        <v>649</v>
      </c>
      <c r="Y28" s="26"/>
    </row>
    <row r="29" spans="4:25" ht="15" customHeight="1" x14ac:dyDescent="0.2">
      <c r="D29" s="49"/>
      <c r="E29" s="49"/>
      <c r="F29" s="317" t="s">
        <v>1139</v>
      </c>
      <c r="G29" s="276">
        <f>(((W29*5))/3)</f>
        <v>180</v>
      </c>
      <c r="H29" s="292" t="str">
        <f>"g/planta de "&amp;Y29&amp;"."</f>
        <v>g/planta de 20-00-15.</v>
      </c>
      <c r="I29" s="49"/>
      <c r="J29" s="49"/>
      <c r="K29" s="26"/>
      <c r="L29" s="49"/>
      <c r="O29" s="26"/>
      <c r="P29" s="26"/>
      <c r="W29" s="171">
        <v>108</v>
      </c>
      <c r="X29" s="26" t="s">
        <v>650</v>
      </c>
      <c r="Y29" s="273" t="str">
        <f>IF(G17&lt;60,"20-00-30",IF(AND(G17&gt;=60,G17&lt;120),"20-00-20",IF(AND(G17&gt;=120,G17&lt;200),"20-00-15",IF(AND(G17&gt;=200,G17&lt;280),"20-00-10","Sulfato de Amônio"))))</f>
        <v>20-00-15</v>
      </c>
    </row>
    <row r="30" spans="4:25" ht="15" customHeight="1" x14ac:dyDescent="0.2">
      <c r="D30" s="49"/>
      <c r="E30" s="49"/>
      <c r="F30" s="49"/>
      <c r="G30" s="49"/>
      <c r="H30" s="49"/>
      <c r="I30" s="325"/>
      <c r="J30" s="49"/>
      <c r="K30" s="26"/>
      <c r="L30" s="26"/>
      <c r="M30" s="26"/>
      <c r="N30" s="26"/>
      <c r="O30" s="26"/>
      <c r="P30" s="26"/>
    </row>
    <row r="31" spans="4:25" ht="15" customHeight="1" x14ac:dyDescent="0.2">
      <c r="D31" s="314"/>
      <c r="E31" s="281"/>
      <c r="F31" s="281"/>
      <c r="G31" s="281"/>
      <c r="H31" s="283"/>
      <c r="I31" s="283"/>
      <c r="J31" s="283"/>
      <c r="K31" s="273"/>
      <c r="L31" s="273"/>
      <c r="M31" s="273"/>
      <c r="N31" s="26"/>
      <c r="O31" s="26"/>
      <c r="P31" s="26"/>
    </row>
    <row r="32" spans="4:25" ht="15" customHeight="1" x14ac:dyDescent="0.2">
      <c r="D32" s="314"/>
      <c r="E32" s="281"/>
      <c r="F32" s="281"/>
      <c r="G32" s="281"/>
      <c r="H32" s="283"/>
      <c r="I32" s="283"/>
      <c r="J32" s="283"/>
      <c r="K32" s="273"/>
      <c r="L32" s="273"/>
      <c r="M32" s="273"/>
      <c r="N32" s="26"/>
      <c r="O32" s="26"/>
      <c r="P32" s="26"/>
    </row>
    <row r="33" spans="4:16" ht="15" customHeight="1" x14ac:dyDescent="0.2">
      <c r="D33" s="281"/>
      <c r="F33" s="283"/>
      <c r="G33" s="281"/>
      <c r="H33" s="283"/>
      <c r="I33" s="283"/>
      <c r="J33" s="283"/>
      <c r="K33" s="171"/>
      <c r="L33" s="315"/>
      <c r="M33" s="280"/>
      <c r="N33" s="26"/>
      <c r="O33" s="26"/>
      <c r="P33" s="26"/>
    </row>
    <row r="34" spans="4:16" ht="15" customHeight="1" x14ac:dyDescent="0.2">
      <c r="D34" s="281"/>
      <c r="F34" s="275"/>
      <c r="G34" s="281"/>
      <c r="H34" s="272"/>
      <c r="I34" s="272"/>
      <c r="J34" s="272"/>
      <c r="K34" s="272"/>
      <c r="L34" s="315"/>
      <c r="M34" s="26"/>
      <c r="N34" s="26"/>
      <c r="O34" s="26"/>
      <c r="P34" s="26"/>
    </row>
    <row r="35" spans="4:16" ht="15" customHeight="1" x14ac:dyDescent="0.2">
      <c r="D35" s="281"/>
      <c r="F35" s="283"/>
      <c r="G35" s="281"/>
      <c r="H35" s="283"/>
      <c r="I35" s="283"/>
      <c r="J35" s="283"/>
      <c r="K35" s="171"/>
      <c r="L35" s="315"/>
      <c r="M35" s="26"/>
      <c r="N35" s="26"/>
      <c r="O35" s="26"/>
      <c r="P35" s="26"/>
    </row>
    <row r="36" spans="4:16" ht="15" customHeight="1" x14ac:dyDescent="0.2">
      <c r="D36" s="281"/>
      <c r="E36" s="281"/>
      <c r="F36" s="281"/>
      <c r="G36" s="281"/>
      <c r="H36" s="275"/>
      <c r="I36" s="281"/>
      <c r="J36" s="281"/>
      <c r="K36" s="273"/>
      <c r="L36" s="273"/>
      <c r="M36" s="273"/>
      <c r="N36" s="26"/>
      <c r="O36" s="26"/>
      <c r="P36" s="26"/>
    </row>
    <row r="37" spans="4:16" ht="15" customHeight="1" x14ac:dyDescent="0.2">
      <c r="D37" s="275"/>
      <c r="E37" s="283"/>
      <c r="G37" s="280"/>
      <c r="H37" s="281"/>
      <c r="I37" s="281"/>
      <c r="J37" s="281"/>
      <c r="K37" s="281"/>
      <c r="L37" s="281"/>
      <c r="M37" s="281"/>
    </row>
    <row r="38" spans="4:16" ht="15" customHeight="1" x14ac:dyDescent="0.2">
      <c r="D38" s="275"/>
      <c r="E38" s="281"/>
      <c r="F38" s="281"/>
      <c r="G38" s="281"/>
      <c r="H38" s="283"/>
      <c r="I38" s="283"/>
      <c r="J38" s="283"/>
      <c r="K38" s="283"/>
      <c r="L38" s="283"/>
      <c r="M38" s="283"/>
    </row>
    <row r="39" spans="4:16" ht="15" customHeight="1" x14ac:dyDescent="0.2">
      <c r="D39" s="226" t="s">
        <v>891</v>
      </c>
      <c r="E39" s="717">
        <f ca="1">TODAY()</f>
        <v>45064</v>
      </c>
      <c r="F39" s="714"/>
      <c r="G39" s="60" t="s">
        <v>373</v>
      </c>
    </row>
    <row r="40" spans="4:16" ht="15" customHeight="1" x14ac:dyDescent="0.2"/>
    <row r="41" spans="4:16" ht="15" hidden="1" customHeight="1" x14ac:dyDescent="0.2"/>
    <row r="42" spans="4:16" ht="15" hidden="1" customHeight="1" x14ac:dyDescent="0.2"/>
    <row r="43" spans="4:16" ht="15" hidden="1" customHeight="1" x14ac:dyDescent="0.2"/>
    <row r="44" spans="4:16" ht="15" hidden="1" customHeight="1" x14ac:dyDescent="0.2"/>
    <row r="45" spans="4:16" ht="15" hidden="1" customHeight="1" x14ac:dyDescent="0.2"/>
    <row r="46" spans="4:16" ht="15" hidden="1" customHeight="1" x14ac:dyDescent="0.2"/>
    <row r="47" spans="4:16" ht="15" hidden="1" customHeight="1" x14ac:dyDescent="0.2"/>
    <row r="48" spans="4:16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</sheetData>
  <sheetProtection algorithmName="SHA-512" hashValue="WT5Qv7d7W1X1a0kmei9olcx5g/GaTse7Q3YW7n0yCgdlaraiHDahxOmdtVW8mmzrZfBxbky9emYwgb6sWjiNjQ==" saltValue="R5gNk4wlRxdNP4N11cndhA==" spinCount="100000" sheet="1" objects="1" scenarios="1" selectLockedCells="1"/>
  <mergeCells count="3">
    <mergeCell ref="E39:F39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97" orientation="portrait" cellComments="atEnd" horizontalDpi="360" verticalDpi="36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9">
    <pageSetUpPr fitToPage="1"/>
  </sheetPr>
  <dimension ref="A1:Z6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2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ht="24.95" customHeight="1" x14ac:dyDescent="0.2">
      <c r="C6" s="699" t="s">
        <v>2083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6" ht="15" customHeight="1" x14ac:dyDescent="0.2"/>
    <row r="8" spans="1:2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6" ht="15" customHeight="1" x14ac:dyDescent="0.2"/>
    <row r="10" spans="1:26" ht="15" customHeight="1" x14ac:dyDescent="0.25">
      <c r="D10" s="164" t="s">
        <v>1951</v>
      </c>
      <c r="E10" s="34"/>
    </row>
    <row r="11" spans="1:26" ht="15" customHeight="1" x14ac:dyDescent="0.2">
      <c r="D11" s="49" t="s">
        <v>1703</v>
      </c>
      <c r="G11" s="237">
        <v>5</v>
      </c>
      <c r="H11" s="49" t="s">
        <v>1953</v>
      </c>
    </row>
    <row r="12" spans="1:26" ht="15" customHeight="1" x14ac:dyDescent="0.2">
      <c r="G12" s="237">
        <v>150</v>
      </c>
      <c r="H12" s="49" t="s">
        <v>1933</v>
      </c>
    </row>
    <row r="13" spans="1:26" ht="15" customHeight="1" x14ac:dyDescent="0.2">
      <c r="G13" s="271"/>
      <c r="K13" s="26"/>
      <c r="L13" s="26"/>
      <c r="M13" s="26"/>
      <c r="N13" s="26"/>
      <c r="O13" s="26"/>
      <c r="P13" s="26"/>
    </row>
    <row r="14" spans="1:26" ht="15" customHeight="1" x14ac:dyDescent="0.2">
      <c r="F14" s="316" t="s">
        <v>2244</v>
      </c>
      <c r="G14" s="224">
        <f>((W14*5))</f>
        <v>600</v>
      </c>
      <c r="H14" s="292" t="s">
        <v>2235</v>
      </c>
      <c r="K14" s="26"/>
      <c r="P14" s="26"/>
      <c r="W14" s="325" t="str">
        <f>IF(G11&lt;10,"120",IF(AND(G11&gt;=10,G11&lt;20),"80",IF(AND(G11&gt;=20,G11&lt;50),"40",0)))</f>
        <v>120</v>
      </c>
      <c r="X14" s="26" t="s">
        <v>649</v>
      </c>
      <c r="Y14" s="26"/>
      <c r="Z14" s="26"/>
    </row>
    <row r="15" spans="1:26" ht="15" customHeight="1" x14ac:dyDescent="0.2">
      <c r="D15" s="275"/>
      <c r="F15" s="226" t="s">
        <v>1139</v>
      </c>
      <c r="G15" s="276">
        <f>((W15*5))/3</f>
        <v>250</v>
      </c>
      <c r="H15" s="292" t="str">
        <f>"g/planta de "&amp;Y15&amp;"."</f>
        <v>g/planta de 20-00-15.</v>
      </c>
      <c r="K15" s="26"/>
      <c r="P15" s="26"/>
      <c r="W15" s="171">
        <v>150</v>
      </c>
      <c r="X15" s="26" t="s">
        <v>650</v>
      </c>
      <c r="Y15" s="273" t="str">
        <f>IF(G12&lt;60,"20-00-30",IF(AND(G12&gt;=60,G12&lt;120),"20-00-20",IF(AND(G12&gt;=120,G12&lt;200),"20-00-15",IF(AND(G12&gt;=200,G12&lt;280),"20-00-10","Sulfato de Amônio"))))</f>
        <v>20-00-15</v>
      </c>
      <c r="Z15" s="26"/>
    </row>
    <row r="16" spans="1:26" ht="15" customHeight="1" x14ac:dyDescent="0.2">
      <c r="I16" s="279"/>
      <c r="K16" s="26"/>
      <c r="P16" s="26"/>
      <c r="W16" s="26"/>
      <c r="X16" s="26"/>
      <c r="Y16" s="26"/>
      <c r="Z16" s="26"/>
    </row>
    <row r="17" spans="4:26" ht="15" customHeight="1" x14ac:dyDescent="0.25">
      <c r="D17" s="164" t="s">
        <v>1952</v>
      </c>
      <c r="E17" s="34"/>
      <c r="H17" s="263"/>
      <c r="I17" s="263"/>
      <c r="J17" s="27"/>
      <c r="K17" s="26"/>
      <c r="P17" s="26"/>
      <c r="W17" s="26"/>
      <c r="X17" s="26"/>
      <c r="Y17" s="26"/>
      <c r="Z17" s="26"/>
    </row>
    <row r="18" spans="4:26" ht="15" customHeight="1" x14ac:dyDescent="0.2">
      <c r="D18" s="49" t="s">
        <v>1703</v>
      </c>
      <c r="G18" s="237">
        <v>5</v>
      </c>
      <c r="H18" s="49" t="s">
        <v>1953</v>
      </c>
      <c r="I18" s="263"/>
      <c r="J18" s="27"/>
      <c r="K18" s="26"/>
      <c r="P18" s="26"/>
      <c r="W18" s="26"/>
      <c r="X18" s="26"/>
      <c r="Y18" s="280"/>
      <c r="Z18" s="26"/>
    </row>
    <row r="19" spans="4:26" ht="15" customHeight="1" x14ac:dyDescent="0.2">
      <c r="G19" s="237">
        <v>150</v>
      </c>
      <c r="H19" s="49" t="s">
        <v>1933</v>
      </c>
      <c r="K19" s="26"/>
      <c r="P19" s="26"/>
      <c r="W19" s="26"/>
      <c r="X19" s="26"/>
      <c r="Y19" s="280"/>
      <c r="Z19" s="26"/>
    </row>
    <row r="20" spans="4:26" ht="15" customHeight="1" x14ac:dyDescent="0.2">
      <c r="G20" s="271"/>
      <c r="K20" s="26"/>
      <c r="P20" s="26"/>
      <c r="W20" s="26"/>
      <c r="X20" s="26"/>
      <c r="Y20" s="26"/>
      <c r="Z20" s="26"/>
    </row>
    <row r="21" spans="4:26" ht="15" customHeight="1" x14ac:dyDescent="0.2">
      <c r="F21" s="316" t="s">
        <v>2244</v>
      </c>
      <c r="G21" s="224">
        <f>((W21*5))</f>
        <v>900</v>
      </c>
      <c r="H21" s="292" t="s">
        <v>2235</v>
      </c>
      <c r="K21" s="26"/>
      <c r="P21" s="26"/>
      <c r="W21" s="325" t="str">
        <f>IF(G18&lt;10,"180",IF(AND(G18&gt;=10,G18&lt;20),"120",IF(AND(G18&gt;=20,G18&lt;50),"60",0)))</f>
        <v>180</v>
      </c>
      <c r="X21" s="26" t="s">
        <v>649</v>
      </c>
      <c r="Y21" s="26"/>
      <c r="Z21" s="26"/>
    </row>
    <row r="22" spans="4:26" ht="15" customHeight="1" x14ac:dyDescent="0.2">
      <c r="D22" s="275"/>
      <c r="F22" s="226" t="s">
        <v>1139</v>
      </c>
      <c r="G22" s="276">
        <f>((W22*5))/3</f>
        <v>400</v>
      </c>
      <c r="H22" s="292" t="str">
        <f>"g/planta de "&amp;Y22&amp;"."</f>
        <v>g/planta de 20-00-15.</v>
      </c>
      <c r="K22" s="26"/>
      <c r="P22" s="26"/>
      <c r="W22" s="171">
        <v>240</v>
      </c>
      <c r="X22" s="26" t="s">
        <v>650</v>
      </c>
      <c r="Y22" s="273" t="str">
        <f>IF(G19&lt;60,"20-00-30",IF(AND(G19&gt;=60,G19&lt;120),"20-00-20",IF(AND(G19&gt;=120,G19&lt;200),"20-00-15",IF(AND(G19&gt;=200,G19&lt;280),"20-00-10","Sulfato de Amônio"))))</f>
        <v>20-00-15</v>
      </c>
      <c r="Z22" s="26"/>
    </row>
    <row r="23" spans="4:26" ht="15" customHeight="1" x14ac:dyDescent="0.2">
      <c r="I23" s="279"/>
      <c r="K23" s="26"/>
      <c r="L23" s="26"/>
      <c r="M23" s="26"/>
      <c r="N23" s="26"/>
      <c r="O23" s="26"/>
      <c r="P23" s="26"/>
    </row>
    <row r="24" spans="4:26" ht="15" customHeight="1" x14ac:dyDescent="0.25">
      <c r="D24" s="282" t="s">
        <v>1941</v>
      </c>
      <c r="E24" s="281"/>
      <c r="F24" s="281"/>
      <c r="G24" s="281"/>
      <c r="H24" s="283"/>
      <c r="I24" s="283"/>
      <c r="J24" s="283"/>
      <c r="K24" s="283"/>
      <c r="L24" s="283"/>
      <c r="M24" s="283"/>
      <c r="N24" s="283"/>
      <c r="O24" s="27"/>
    </row>
    <row r="25" spans="4:26" ht="15" customHeight="1" x14ac:dyDescent="0.2">
      <c r="D25" s="49" t="s">
        <v>1703</v>
      </c>
      <c r="E25" s="281"/>
      <c r="F25" s="281"/>
      <c r="G25" s="237">
        <v>20</v>
      </c>
      <c r="H25" s="49" t="s">
        <v>1929</v>
      </c>
      <c r="I25" s="283"/>
      <c r="J25" s="283"/>
      <c r="K25" s="283"/>
      <c r="L25" s="220"/>
      <c r="M25" s="283"/>
      <c r="N25" s="283"/>
      <c r="O25" s="27"/>
    </row>
    <row r="26" spans="4:26" ht="15" customHeight="1" x14ac:dyDescent="0.2">
      <c r="G26" s="5">
        <v>7</v>
      </c>
      <c r="H26" s="49" t="s">
        <v>1934</v>
      </c>
      <c r="I26" s="283"/>
      <c r="J26" s="283"/>
      <c r="K26" s="263"/>
      <c r="L26" s="220"/>
      <c r="M26" s="27"/>
      <c r="N26" s="27"/>
      <c r="O26" s="27"/>
    </row>
    <row r="27" spans="4:26" ht="15" customHeight="1" x14ac:dyDescent="0.2">
      <c r="G27" s="281"/>
      <c r="H27" s="298"/>
      <c r="I27" s="272"/>
      <c r="J27" s="272"/>
      <c r="K27" s="272"/>
      <c r="L27" s="289"/>
      <c r="M27" s="27"/>
      <c r="N27" s="27"/>
      <c r="O27" s="27"/>
    </row>
    <row r="28" spans="4:26" ht="15" customHeight="1" x14ac:dyDescent="0.2">
      <c r="D28" s="273" t="s">
        <v>340</v>
      </c>
      <c r="F28" s="283"/>
      <c r="G28" s="237">
        <v>80</v>
      </c>
      <c r="H28" s="49" t="s">
        <v>341</v>
      </c>
      <c r="I28" s="283"/>
      <c r="J28" s="283"/>
      <c r="K28" s="263"/>
      <c r="L28" s="283"/>
      <c r="M28" s="283"/>
      <c r="N28" s="27"/>
      <c r="O28" s="27"/>
    </row>
    <row r="29" spans="4:26" ht="15" customHeight="1" x14ac:dyDescent="0.2">
      <c r="D29" s="281"/>
      <c r="E29" s="281"/>
      <c r="F29" s="281"/>
      <c r="G29" s="281"/>
      <c r="H29" s="281"/>
      <c r="I29" s="281"/>
      <c r="J29" s="281"/>
      <c r="K29" s="283"/>
      <c r="L29" s="283"/>
      <c r="M29" s="283"/>
      <c r="N29" s="27"/>
      <c r="O29" s="27"/>
    </row>
    <row r="30" spans="4:26" ht="15" customHeight="1" x14ac:dyDescent="0.2">
      <c r="D30" s="273" t="s">
        <v>1708</v>
      </c>
      <c r="E30" s="283"/>
      <c r="G30" s="286">
        <f>IF((G26*(60-G25)/G28)&gt;0,G26*(60-G25)/G28,0)</f>
        <v>3.5</v>
      </c>
      <c r="H30" s="273" t="s">
        <v>1878</v>
      </c>
      <c r="I30" s="281"/>
      <c r="J30" s="281"/>
      <c r="K30" s="281"/>
      <c r="L30" s="281"/>
      <c r="M30" s="281"/>
    </row>
    <row r="31" spans="4:26" ht="15" customHeight="1" x14ac:dyDescent="0.2">
      <c r="D31" s="275"/>
      <c r="E31" s="281"/>
      <c r="F31" s="281"/>
      <c r="G31" s="281"/>
      <c r="H31" s="283"/>
      <c r="I31" s="283"/>
      <c r="J31" s="283"/>
      <c r="K31" s="283"/>
      <c r="L31" s="283"/>
      <c r="M31" s="283"/>
      <c r="N31" s="281"/>
    </row>
    <row r="32" spans="4:26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ht="15" customHeight="1" x14ac:dyDescent="0.2"/>
    <row r="38" spans="4:7" ht="15" customHeight="1" x14ac:dyDescent="0.2"/>
    <row r="39" spans="4:7" ht="15" customHeight="1" x14ac:dyDescent="0.2"/>
    <row r="40" spans="4:7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4:7" ht="15" customHeight="1" x14ac:dyDescent="0.2"/>
    <row r="42" spans="4:7" ht="15" hidden="1" customHeight="1" x14ac:dyDescent="0.2"/>
    <row r="43" spans="4:7" ht="15" hidden="1" customHeight="1" x14ac:dyDescent="0.2"/>
    <row r="44" spans="4:7" ht="15" hidden="1" customHeight="1" x14ac:dyDescent="0.2"/>
    <row r="45" spans="4:7" ht="15" hidden="1" customHeight="1" x14ac:dyDescent="0.2"/>
    <row r="46" spans="4:7" ht="15" hidden="1" customHeight="1" x14ac:dyDescent="0.2"/>
    <row r="47" spans="4:7" ht="15" hidden="1" customHeight="1" x14ac:dyDescent="0.2"/>
    <row r="48" spans="4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</sheetData>
  <sheetProtection algorithmName="SHA-512" hashValue="vYxMUUoZdR/t4ryPnh/03GaOvw137fhLysLBCQzTrsIHajA+VfgJMNI5HSNUUJ+2NZNWkaHSfpJfib2f8BVVhw==" saltValue="sS7k+NaAMlAZ6sBH7oWOvQ==" spinCount="100000" sheet="1" objects="1" scenarios="1" selectLockedCells="1"/>
  <mergeCells count="3">
    <mergeCell ref="E40:F40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0">
    <pageSetUpPr fitToPage="1"/>
  </sheetPr>
  <dimension ref="A1:Y8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671</v>
      </c>
      <c r="G11" s="237">
        <v>8</v>
      </c>
      <c r="H11" s="298" t="s">
        <v>2070</v>
      </c>
      <c r="I11" s="237">
        <v>5</v>
      </c>
      <c r="J11" s="298" t="s">
        <v>2069</v>
      </c>
      <c r="K11" s="256">
        <f>10000/(G11*I11)</f>
        <v>250</v>
      </c>
      <c r="L11" s="170" t="s">
        <v>353</v>
      </c>
    </row>
    <row r="12" spans="1:16" s="60" customFormat="1" ht="15" customHeight="1" x14ac:dyDescent="0.2">
      <c r="D12" s="267" t="s">
        <v>646</v>
      </c>
      <c r="E12" s="267"/>
      <c r="G12" s="237">
        <v>2500</v>
      </c>
      <c r="H12" s="298" t="s">
        <v>2257</v>
      </c>
      <c r="I12" s="265" t="s">
        <v>672</v>
      </c>
      <c r="J12" s="256">
        <f>G12/K11</f>
        <v>10</v>
      </c>
      <c r="K12" s="298" t="s">
        <v>575</v>
      </c>
      <c r="L12" s="298"/>
    </row>
    <row r="13" spans="1:16" s="60" customFormat="1" ht="15" customHeight="1" x14ac:dyDescent="0.2">
      <c r="D13" s="266" t="s">
        <v>655</v>
      </c>
      <c r="E13" s="267"/>
      <c r="G13" s="237">
        <v>3</v>
      </c>
      <c r="H13" s="49" t="s">
        <v>349</v>
      </c>
    </row>
    <row r="14" spans="1:16" s="60" customFormat="1" ht="15" customHeight="1" x14ac:dyDescent="0.2">
      <c r="D14" s="267"/>
      <c r="E14" s="267"/>
    </row>
    <row r="15" spans="1:16" s="60" customFormat="1" ht="15" customHeight="1" x14ac:dyDescent="0.2">
      <c r="D15" s="49" t="s">
        <v>1703</v>
      </c>
      <c r="E15" s="266"/>
      <c r="F15" s="266"/>
      <c r="G15" s="237">
        <v>40</v>
      </c>
      <c r="H15" s="49" t="s">
        <v>1953</v>
      </c>
    </row>
    <row r="16" spans="1:16" s="60" customFormat="1" ht="15" customHeight="1" x14ac:dyDescent="0.2">
      <c r="D16" s="266"/>
      <c r="E16" s="34"/>
      <c r="F16" s="49"/>
      <c r="G16" s="237">
        <v>150</v>
      </c>
      <c r="H16" s="49" t="s">
        <v>1933</v>
      </c>
    </row>
    <row r="17" spans="4:25" s="60" customFormat="1" ht="15" customHeight="1" x14ac:dyDescent="0.2">
      <c r="D17" s="266"/>
      <c r="E17" s="49"/>
      <c r="F17" s="49"/>
      <c r="G17" s="237">
        <v>20</v>
      </c>
      <c r="H17" s="273" t="s">
        <v>1929</v>
      </c>
      <c r="I17" s="266"/>
      <c r="J17" s="266"/>
      <c r="M17" s="266"/>
      <c r="N17" s="266"/>
      <c r="O17" s="266"/>
    </row>
    <row r="18" spans="4:25" s="60" customFormat="1" ht="15" customHeight="1" x14ac:dyDescent="0.2">
      <c r="D18" s="266"/>
      <c r="E18" s="266"/>
      <c r="F18" s="266"/>
      <c r="G18" s="5">
        <v>7</v>
      </c>
      <c r="H18" s="273" t="s">
        <v>1934</v>
      </c>
      <c r="I18" s="266"/>
      <c r="J18" s="266"/>
      <c r="M18" s="266"/>
      <c r="N18" s="266"/>
      <c r="O18" s="266"/>
      <c r="P18" s="266"/>
    </row>
    <row r="19" spans="4:25" s="60" customFormat="1" ht="15" customHeight="1" x14ac:dyDescent="0.2">
      <c r="D19" s="266"/>
      <c r="E19" s="266"/>
      <c r="F19" s="266"/>
      <c r="G19" s="271"/>
      <c r="H19" s="275"/>
      <c r="I19" s="266"/>
      <c r="J19" s="266"/>
      <c r="K19" s="266"/>
      <c r="L19" s="266"/>
      <c r="M19" s="266"/>
      <c r="N19" s="266"/>
      <c r="O19" s="266"/>
      <c r="P19" s="266"/>
    </row>
    <row r="20" spans="4:25" s="60" customFormat="1" ht="15" customHeight="1" x14ac:dyDescent="0.2">
      <c r="D20" s="273" t="s">
        <v>340</v>
      </c>
      <c r="E20" s="266"/>
      <c r="F20" s="266"/>
      <c r="G20" s="237">
        <v>80</v>
      </c>
      <c r="H20" s="273" t="s">
        <v>341</v>
      </c>
      <c r="I20" s="266"/>
      <c r="J20" s="266"/>
      <c r="K20" s="266"/>
      <c r="L20" s="266"/>
      <c r="M20" s="266"/>
      <c r="N20" s="266"/>
      <c r="O20" s="266"/>
      <c r="P20" s="266"/>
    </row>
    <row r="21" spans="4:25" s="60" customFormat="1" ht="15" customHeight="1" x14ac:dyDescent="0.2">
      <c r="D21" s="266"/>
      <c r="F21" s="266"/>
      <c r="G21" s="271"/>
      <c r="H21" s="266"/>
      <c r="I21" s="266"/>
      <c r="J21" s="266"/>
      <c r="K21" s="266"/>
      <c r="L21" s="266"/>
      <c r="M21" s="266"/>
      <c r="N21" s="266"/>
      <c r="O21" s="266"/>
      <c r="P21" s="266"/>
    </row>
    <row r="22" spans="4:25" s="60" customFormat="1" ht="15" customHeight="1" x14ac:dyDescent="0.25">
      <c r="D22" s="326" t="s">
        <v>350</v>
      </c>
      <c r="E22" s="263"/>
      <c r="F22" s="266"/>
      <c r="G22" s="271"/>
      <c r="H22" s="266"/>
      <c r="L22" s="266"/>
      <c r="M22" s="266"/>
      <c r="N22" s="266"/>
      <c r="O22" s="266"/>
      <c r="P22" s="266"/>
    </row>
    <row r="23" spans="4:25" s="60" customFormat="1" ht="15" customHeight="1" x14ac:dyDescent="0.2">
      <c r="D23" s="222" t="s">
        <v>573</v>
      </c>
      <c r="E23" s="263"/>
      <c r="F23" s="266"/>
      <c r="G23" s="271"/>
      <c r="H23" s="266"/>
      <c r="I23" s="266"/>
      <c r="J23" s="266"/>
      <c r="K23" s="266"/>
      <c r="L23" s="266"/>
      <c r="M23" s="266"/>
      <c r="N23" s="266"/>
      <c r="O23" s="266"/>
      <c r="P23" s="266"/>
    </row>
    <row r="24" spans="4:25" s="60" customFormat="1" ht="15" customHeight="1" x14ac:dyDescent="0.2">
      <c r="D24" s="273" t="s">
        <v>1708</v>
      </c>
      <c r="E24" s="224"/>
      <c r="F24" s="280"/>
      <c r="G24" s="286">
        <f>IF((G18*(60-G17)/G20)&gt;0, G18*(60-G17)/G20,0)</f>
        <v>3.5</v>
      </c>
      <c r="H24" s="273" t="s">
        <v>2258</v>
      </c>
      <c r="I24" s="266"/>
      <c r="J24" s="266"/>
      <c r="K24" s="266"/>
      <c r="L24" s="266"/>
      <c r="M24" s="266"/>
      <c r="N24" s="266"/>
      <c r="O24" s="266"/>
      <c r="P24" s="266"/>
    </row>
    <row r="25" spans="4:25" s="60" customFormat="1" ht="15" customHeight="1" x14ac:dyDescent="0.2">
      <c r="D25" s="266"/>
      <c r="E25" s="281"/>
      <c r="F25" s="281"/>
      <c r="G25" s="271"/>
      <c r="H25" s="266"/>
      <c r="I25" s="266"/>
      <c r="J25" s="266"/>
      <c r="K25" s="266"/>
      <c r="L25" s="266"/>
      <c r="M25" s="266"/>
      <c r="N25" s="266"/>
      <c r="O25" s="266"/>
      <c r="P25" s="266"/>
    </row>
    <row r="26" spans="4:25" s="60" customFormat="1" ht="15" customHeight="1" x14ac:dyDescent="0.2">
      <c r="D26" s="320" t="s">
        <v>2062</v>
      </c>
      <c r="E26" s="281"/>
      <c r="F26" s="281"/>
      <c r="G26" s="271"/>
      <c r="H26" s="283"/>
      <c r="I26" s="266"/>
      <c r="J26" s="266"/>
      <c r="K26" s="266"/>
      <c r="L26" s="266"/>
      <c r="M26" s="266"/>
      <c r="N26" s="266"/>
      <c r="O26" s="266"/>
      <c r="P26" s="266"/>
    </row>
    <row r="27" spans="4:25" s="60" customFormat="1" ht="15" customHeight="1" x14ac:dyDescent="0.2">
      <c r="D27" s="266"/>
      <c r="E27" s="266"/>
      <c r="F27" s="225" t="s">
        <v>637</v>
      </c>
      <c r="G27" s="224">
        <f>1000*((W27*5)/K11)</f>
        <v>1200</v>
      </c>
      <c r="H27" s="292" t="s">
        <v>2235</v>
      </c>
      <c r="I27" s="266"/>
      <c r="J27" s="266"/>
      <c r="K27" s="266"/>
      <c r="L27" s="266"/>
      <c r="M27" s="266"/>
      <c r="N27" s="266"/>
      <c r="O27" s="266"/>
      <c r="P27" s="266"/>
      <c r="W27" s="325" t="str">
        <f>IF(G15&lt;10,"100",IF(AND(G15&gt;=10,G15&lt;20),"80",IF(AND(G15&gt;=20,G15&lt;50),"60",0)))</f>
        <v>60</v>
      </c>
      <c r="X27" s="26" t="s">
        <v>651</v>
      </c>
      <c r="Y27" s="26"/>
    </row>
    <row r="28" spans="4:25" s="60" customFormat="1" ht="15" customHeight="1" x14ac:dyDescent="0.2">
      <c r="D28" s="266"/>
      <c r="E28" s="266"/>
      <c r="F28" s="226" t="s">
        <v>1139</v>
      </c>
      <c r="G28" s="276">
        <f>1000*((W28*5)/K11)/3</f>
        <v>666.66666666666663</v>
      </c>
      <c r="H28" s="292" t="str">
        <f>"g/planta de "&amp;Y28&amp;"."</f>
        <v>g/planta de 20-00-15.</v>
      </c>
      <c r="I28" s="266"/>
      <c r="J28" s="266"/>
      <c r="K28" s="266"/>
      <c r="L28" s="266"/>
      <c r="M28" s="266"/>
      <c r="N28" s="26"/>
      <c r="O28" s="26"/>
      <c r="P28" s="26"/>
      <c r="Q28" s="292"/>
      <c r="W28" s="171">
        <f>IF(G13&lt;5,100,IF(AND(G13&gt;=5,G13&lt;8),150,200))</f>
        <v>100</v>
      </c>
      <c r="X28" s="26" t="s">
        <v>652</v>
      </c>
      <c r="Y28" s="273" t="str">
        <f>IF(G16&lt;60,"20-00-30",IF(AND(G16&gt;=60,G16&lt;120),"20-00-20",IF(AND(G16&gt;=120,G16&lt;200),"20-00-15",IF(AND(G16&gt;=200,G16&lt;280),"20-00-10","Sulfato de Amônio"))))</f>
        <v>20-00-15</v>
      </c>
    </row>
    <row r="29" spans="4:25" s="60" customFormat="1" ht="15" customHeight="1" x14ac:dyDescent="0.2">
      <c r="D29" s="266"/>
      <c r="E29" s="263"/>
      <c r="F29" s="266"/>
      <c r="G29" s="271"/>
      <c r="H29" s="266"/>
      <c r="I29" s="266"/>
      <c r="J29" s="266"/>
      <c r="K29" s="266"/>
      <c r="L29" s="266"/>
      <c r="M29" s="266"/>
      <c r="N29" s="26"/>
      <c r="O29" s="26"/>
      <c r="P29" s="26"/>
      <c r="Q29" s="292"/>
    </row>
    <row r="30" spans="4:25" ht="15" customHeight="1" x14ac:dyDescent="0.2">
      <c r="E30" s="219" t="s">
        <v>647</v>
      </c>
      <c r="K30" s="27"/>
      <c r="L30" s="27"/>
      <c r="M30" s="272"/>
      <c r="N30" s="272"/>
      <c r="O30" s="272"/>
      <c r="P30" s="272"/>
      <c r="Q30" s="289"/>
      <c r="R30" s="281"/>
    </row>
    <row r="31" spans="4:25" s="281" customFormat="1" ht="15" customHeight="1" x14ac:dyDescent="0.2">
      <c r="D31" s="27"/>
      <c r="E31" s="216" t="s">
        <v>574</v>
      </c>
      <c r="F31" s="576"/>
      <c r="G31" s="576"/>
      <c r="H31" s="255" t="s">
        <v>575</v>
      </c>
      <c r="I31" s="576"/>
      <c r="J31" s="255" t="str">
        <f>"Área do talhão: "&amp;J12&amp;" ha"</f>
        <v>Área do talhão: 10 ha</v>
      </c>
      <c r="K31" s="255"/>
      <c r="L31" s="283"/>
      <c r="M31" s="283"/>
      <c r="N31" s="283"/>
      <c r="O31" s="283"/>
      <c r="P31" s="283"/>
    </row>
    <row r="32" spans="4:25" s="281" customFormat="1" ht="15" customHeight="1" x14ac:dyDescent="0.2">
      <c r="D32" s="283"/>
      <c r="E32" s="27" t="s">
        <v>394</v>
      </c>
      <c r="F32" s="27"/>
      <c r="H32" s="218">
        <f>((G28*3)*K11)/50000</f>
        <v>10</v>
      </c>
      <c r="I32" s="263"/>
      <c r="J32" s="218">
        <f>H32*J12</f>
        <v>100</v>
      </c>
      <c r="K32" s="218"/>
      <c r="L32" s="283"/>
      <c r="M32" s="283"/>
      <c r="N32" s="27"/>
      <c r="O32" s="283"/>
      <c r="P32" s="283"/>
      <c r="R32" s="686"/>
    </row>
    <row r="33" spans="4:16" s="281" customFormat="1" ht="15" customHeight="1" x14ac:dyDescent="0.2">
      <c r="D33" s="283"/>
      <c r="E33" s="27" t="s">
        <v>395</v>
      </c>
      <c r="F33" s="27"/>
      <c r="H33" s="218">
        <f>(G27*K11)/50000</f>
        <v>6</v>
      </c>
      <c r="I33" s="263"/>
      <c r="J33" s="218">
        <f>(H33*J12)</f>
        <v>60</v>
      </c>
      <c r="K33" s="218"/>
      <c r="L33" s="218"/>
      <c r="M33" s="263"/>
      <c r="N33" s="263"/>
      <c r="O33" s="283"/>
      <c r="P33" s="283"/>
    </row>
    <row r="34" spans="4:16" s="281" customFormat="1" ht="15" customHeight="1" x14ac:dyDescent="0.2">
      <c r="E34" s="157" t="s">
        <v>396</v>
      </c>
      <c r="F34" s="157"/>
      <c r="G34" s="507"/>
      <c r="H34" s="341">
        <f>(G24*1000)/50</f>
        <v>70</v>
      </c>
      <c r="I34" s="343"/>
      <c r="J34" s="341">
        <f>H34*J12</f>
        <v>700</v>
      </c>
      <c r="K34" s="341"/>
      <c r="L34" s="218"/>
      <c r="M34" s="263"/>
      <c r="N34" s="263"/>
      <c r="O34" s="283"/>
      <c r="P34" s="283"/>
    </row>
    <row r="35" spans="4:16" s="281" customFormat="1" ht="15" customHeight="1" thickBot="1" x14ac:dyDescent="0.25">
      <c r="K35" s="218"/>
      <c r="L35" s="218"/>
      <c r="M35" s="263"/>
      <c r="N35" s="263"/>
      <c r="O35" s="283"/>
      <c r="P35" s="283"/>
    </row>
    <row r="36" spans="4:16" ht="15" customHeight="1" thickTop="1" thickBot="1" x14ac:dyDescent="0.25">
      <c r="D36" s="219" t="s">
        <v>2259</v>
      </c>
      <c r="E36" s="281"/>
      <c r="F36" s="281"/>
      <c r="G36" s="861" t="str">
        <f>HYPERLINK("#"&amp;"'RecomendacaoMicro'!h1","Recomendação de Micronutrientes")</f>
        <v>Recomendação de Micronutrientes</v>
      </c>
      <c r="H36" s="861"/>
      <c r="I36" s="861"/>
      <c r="J36" s="861"/>
      <c r="K36" s="861"/>
      <c r="M36" s="27"/>
      <c r="N36" s="27"/>
    </row>
    <row r="37" spans="4:16" ht="15" customHeight="1" thickTop="1" thickBot="1" x14ac:dyDescent="0.25">
      <c r="D37" s="169"/>
      <c r="G37" s="861" t="str">
        <f>HYPERLINK("#"&amp;"'MacadamiaCusteio'!h1","Custeio Simplificado")</f>
        <v>Custeio Simplificado</v>
      </c>
      <c r="H37" s="861"/>
      <c r="I37" s="861"/>
      <c r="J37" s="861"/>
      <c r="K37" s="861"/>
      <c r="M37" s="27"/>
      <c r="N37" s="27"/>
    </row>
    <row r="38" spans="4:16" ht="15" customHeight="1" thickTop="1" x14ac:dyDescent="0.2">
      <c r="D38" s="169"/>
      <c r="H38" s="272"/>
      <c r="M38" s="27"/>
      <c r="N38" s="27"/>
    </row>
    <row r="39" spans="4:16" ht="15" customHeight="1" x14ac:dyDescent="0.2"/>
    <row r="40" spans="4:16" ht="15" customHeight="1" x14ac:dyDescent="0.2"/>
    <row r="41" spans="4:16" ht="15" customHeight="1" x14ac:dyDescent="0.2"/>
    <row r="42" spans="4:16" ht="15" customHeight="1" x14ac:dyDescent="0.2"/>
    <row r="43" spans="4:16" ht="15" customHeight="1" x14ac:dyDescent="0.2"/>
    <row r="44" spans="4:16" ht="15" customHeight="1" x14ac:dyDescent="0.2"/>
    <row r="45" spans="4:16" ht="15" customHeight="1" x14ac:dyDescent="0.2"/>
    <row r="46" spans="4:16" ht="15" customHeight="1" x14ac:dyDescent="0.2"/>
    <row r="47" spans="4:16" ht="15" customHeight="1" x14ac:dyDescent="0.2">
      <c r="D47" s="226" t="s">
        <v>891</v>
      </c>
      <c r="E47" s="717">
        <f ca="1">TODAY()</f>
        <v>45064</v>
      </c>
      <c r="F47" s="714"/>
      <c r="G47" s="60" t="s">
        <v>373</v>
      </c>
    </row>
    <row r="48" spans="4:16" ht="15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</sheetData>
  <sheetProtection algorithmName="SHA-512" hashValue="95typ4LzaswCrBf1QaCeac7NgoHgZCn+i9ZoxUZ5ogX2CePRtaPLqSMfWraQ5qfjQitsLcCKMgJBLeiKnp1isA==" saltValue="KPMwQkccz5MohYIUFEIgrQ==" spinCount="100000" sheet="1" objects="1" scenarios="1"/>
  <mergeCells count="5">
    <mergeCell ref="G36:K36"/>
    <mergeCell ref="G37:K37"/>
    <mergeCell ref="E8:M8"/>
    <mergeCell ref="E47:F47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97" orientation="portrait" cellComments="atEnd" horizontalDpi="360" verticalDpi="36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4">
    <pageSetUpPr fitToPage="1"/>
  </sheetPr>
  <dimension ref="A1:P84"/>
  <sheetViews>
    <sheetView showGridLines="0" showRowColHeaders="0" zoomScaleNormal="100" workbookViewId="0">
      <selection activeCell="J18" sqref="J1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2264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804" t="str">
        <f>MacadamiaProd!E8</f>
        <v>João</v>
      </c>
      <c r="F8" s="805"/>
      <c r="G8" s="805"/>
      <c r="H8" s="805"/>
      <c r="I8" s="805"/>
      <c r="J8" s="805"/>
      <c r="K8" s="805"/>
      <c r="L8" s="805"/>
      <c r="M8" s="805"/>
    </row>
    <row r="9" spans="1:16" ht="15" customHeight="1" x14ac:dyDescent="0.2"/>
    <row r="10" spans="1:16" ht="15" customHeight="1" x14ac:dyDescent="0.2"/>
    <row r="11" spans="1:16" ht="15" customHeight="1" x14ac:dyDescent="0.2">
      <c r="F11" s="219" t="s">
        <v>580</v>
      </c>
      <c r="G11" s="257"/>
      <c r="H11" s="169"/>
      <c r="I11" s="222">
        <f>MacadamiaProd!J12</f>
        <v>10</v>
      </c>
      <c r="J11" s="221" t="s">
        <v>575</v>
      </c>
      <c r="L11" s="33"/>
    </row>
    <row r="12" spans="1:16" ht="15" customHeight="1" x14ac:dyDescent="0.2">
      <c r="F12" s="219" t="s">
        <v>581</v>
      </c>
      <c r="G12" s="257"/>
      <c r="H12" s="222"/>
      <c r="I12" s="685">
        <f>MacadamiaProd!G12</f>
        <v>2500</v>
      </c>
      <c r="J12" s="221" t="s">
        <v>1972</v>
      </c>
      <c r="K12" s="27"/>
    </row>
    <row r="13" spans="1:16" ht="15" customHeight="1" x14ac:dyDescent="0.2">
      <c r="F13" s="219" t="s">
        <v>582</v>
      </c>
      <c r="G13" s="257"/>
      <c r="H13" s="221"/>
      <c r="I13" s="224">
        <f>MacadamiaProd!G13*MacadamiaProd!J12</f>
        <v>30</v>
      </c>
      <c r="J13" s="221" t="s">
        <v>294</v>
      </c>
      <c r="K13" s="27"/>
      <c r="M13" s="209"/>
    </row>
    <row r="14" spans="1:16" ht="15" customHeight="1" x14ac:dyDescent="0.2">
      <c r="J14" s="27"/>
      <c r="K14" s="27"/>
      <c r="L14" s="27"/>
      <c r="M14" s="27"/>
    </row>
    <row r="15" spans="1:16" ht="15" customHeight="1" x14ac:dyDescent="0.2">
      <c r="D15" s="210"/>
      <c r="E15" s="118" t="s">
        <v>1971</v>
      </c>
      <c r="F15" s="208"/>
      <c r="I15" s="27"/>
      <c r="J15" s="27"/>
      <c r="K15" s="27"/>
      <c r="L15" s="27"/>
      <c r="M15" s="27"/>
    </row>
    <row r="16" spans="1:16" ht="15" customHeight="1" x14ac:dyDescent="0.2">
      <c r="D16" s="214"/>
      <c r="E16" s="215"/>
      <c r="F16" s="215"/>
      <c r="G16" s="27"/>
      <c r="H16" s="27"/>
      <c r="I16" s="27"/>
      <c r="J16" s="27"/>
      <c r="K16" s="27"/>
      <c r="L16" s="27"/>
    </row>
    <row r="17" spans="4:14" ht="15" customHeight="1" x14ac:dyDescent="0.2">
      <c r="D17" s="216" t="s">
        <v>574</v>
      </c>
      <c r="E17" s="216"/>
      <c r="F17" s="255" t="s">
        <v>1121</v>
      </c>
      <c r="G17" s="255"/>
      <c r="H17" s="255" t="s">
        <v>585</v>
      </c>
      <c r="I17" s="255"/>
      <c r="J17" s="255" t="s">
        <v>586</v>
      </c>
      <c r="K17" s="255"/>
      <c r="L17" s="754" t="s">
        <v>587</v>
      </c>
      <c r="M17" s="754"/>
    </row>
    <row r="18" spans="4:14" ht="15" customHeight="1" x14ac:dyDescent="0.2">
      <c r="D18" s="266" t="s">
        <v>648</v>
      </c>
      <c r="F18" s="265" t="s">
        <v>294</v>
      </c>
      <c r="H18" s="263">
        <v>300</v>
      </c>
      <c r="J18" s="25">
        <v>35</v>
      </c>
      <c r="L18" s="854">
        <f t="shared" ref="L18:L27" si="0">H18*J18</f>
        <v>10500</v>
      </c>
      <c r="M18" s="854"/>
    </row>
    <row r="19" spans="4:14" ht="15" customHeight="1" x14ac:dyDescent="0.2">
      <c r="D19" s="266" t="s">
        <v>588</v>
      </c>
      <c r="F19" s="265" t="s">
        <v>589</v>
      </c>
      <c r="G19" s="265"/>
      <c r="H19" s="218">
        <f>MacadamiaProd!J32</f>
        <v>100</v>
      </c>
      <c r="I19" s="263"/>
      <c r="J19" s="18">
        <v>34</v>
      </c>
      <c r="K19" s="265"/>
      <c r="L19" s="854">
        <f t="shared" si="0"/>
        <v>3400</v>
      </c>
      <c r="M19" s="854"/>
      <c r="N19" s="265"/>
    </row>
    <row r="20" spans="4:14" ht="15" customHeight="1" x14ac:dyDescent="0.2">
      <c r="D20" s="266" t="s">
        <v>590</v>
      </c>
      <c r="F20" s="265" t="s">
        <v>589</v>
      </c>
      <c r="G20" s="265"/>
      <c r="H20" s="218">
        <f>MacadamiaProd!J33</f>
        <v>60</v>
      </c>
      <c r="I20" s="263"/>
      <c r="J20" s="18">
        <v>32</v>
      </c>
      <c r="K20" s="265"/>
      <c r="L20" s="854">
        <f t="shared" si="0"/>
        <v>1920</v>
      </c>
      <c r="M20" s="854"/>
      <c r="N20" s="265"/>
    </row>
    <row r="21" spans="4:14" ht="15" customHeight="1" x14ac:dyDescent="0.2">
      <c r="D21" s="266" t="s">
        <v>591</v>
      </c>
      <c r="F21" s="265" t="s">
        <v>589</v>
      </c>
      <c r="G21" s="265"/>
      <c r="H21" s="218">
        <f>MacadamiaProd!J34</f>
        <v>700</v>
      </c>
      <c r="I21" s="263"/>
      <c r="J21" s="18">
        <v>3.2</v>
      </c>
      <c r="K21" s="265"/>
      <c r="L21" s="854">
        <f t="shared" si="0"/>
        <v>2240</v>
      </c>
      <c r="M21" s="854"/>
    </row>
    <row r="22" spans="4:14" ht="15" customHeight="1" x14ac:dyDescent="0.2">
      <c r="D22" s="266" t="s">
        <v>716</v>
      </c>
      <c r="F22" s="265" t="s">
        <v>631</v>
      </c>
      <c r="G22" s="265"/>
      <c r="H22" s="10">
        <v>3</v>
      </c>
      <c r="I22" s="263"/>
      <c r="J22" s="18">
        <v>23</v>
      </c>
      <c r="K22" s="265"/>
      <c r="L22" s="864">
        <f t="shared" si="0"/>
        <v>69</v>
      </c>
      <c r="M22" s="864"/>
    </row>
    <row r="23" spans="4:14" ht="15" customHeight="1" x14ac:dyDescent="0.2">
      <c r="D23" s="266" t="s">
        <v>592</v>
      </c>
      <c r="F23" s="265" t="s">
        <v>631</v>
      </c>
      <c r="G23" s="265"/>
      <c r="H23" s="237">
        <v>50</v>
      </c>
      <c r="I23" s="263"/>
      <c r="J23" s="18">
        <v>60</v>
      </c>
      <c r="K23" s="265"/>
      <c r="L23" s="864">
        <f t="shared" si="0"/>
        <v>3000</v>
      </c>
      <c r="M23" s="864"/>
    </row>
    <row r="24" spans="4:14" ht="15" customHeight="1" x14ac:dyDescent="0.2">
      <c r="D24" s="266" t="s">
        <v>593</v>
      </c>
      <c r="F24" s="265" t="s">
        <v>631</v>
      </c>
      <c r="G24" s="265"/>
      <c r="H24" s="237">
        <v>40</v>
      </c>
      <c r="I24" s="263"/>
      <c r="J24" s="18">
        <v>80</v>
      </c>
      <c r="K24" s="265"/>
      <c r="L24" s="854">
        <f t="shared" si="0"/>
        <v>3200</v>
      </c>
      <c r="M24" s="854"/>
    </row>
    <row r="25" spans="4:14" ht="15" customHeight="1" x14ac:dyDescent="0.2">
      <c r="D25" s="266" t="s">
        <v>594</v>
      </c>
      <c r="F25" s="265" t="s">
        <v>631</v>
      </c>
      <c r="G25" s="265"/>
      <c r="H25" s="237">
        <v>100</v>
      </c>
      <c r="I25" s="263"/>
      <c r="J25" s="18">
        <v>12</v>
      </c>
      <c r="K25" s="265"/>
      <c r="L25" s="854">
        <f t="shared" si="0"/>
        <v>1200</v>
      </c>
      <c r="M25" s="854"/>
    </row>
    <row r="26" spans="4:14" ht="15" customHeight="1" x14ac:dyDescent="0.2">
      <c r="D26" s="266" t="s">
        <v>641</v>
      </c>
      <c r="F26" s="265" t="s">
        <v>642</v>
      </c>
      <c r="G26" s="265"/>
      <c r="H26" s="237">
        <v>0</v>
      </c>
      <c r="I26" s="263"/>
      <c r="J26" s="18">
        <v>0.18</v>
      </c>
      <c r="K26" s="265"/>
      <c r="L26" s="864">
        <f t="shared" si="0"/>
        <v>0</v>
      </c>
      <c r="M26" s="864"/>
    </row>
    <row r="27" spans="4:14" ht="15" customHeight="1" x14ac:dyDescent="0.2">
      <c r="D27" s="266" t="s">
        <v>645</v>
      </c>
      <c r="F27" s="265" t="s">
        <v>631</v>
      </c>
      <c r="G27" s="265"/>
      <c r="H27" s="237">
        <v>80</v>
      </c>
      <c r="I27" s="263"/>
      <c r="J27" s="19">
        <v>1.8</v>
      </c>
      <c r="K27" s="265"/>
      <c r="L27" s="864">
        <f t="shared" si="0"/>
        <v>144</v>
      </c>
      <c r="M27" s="864"/>
    </row>
    <row r="28" spans="4:14" ht="15" customHeight="1" x14ac:dyDescent="0.2">
      <c r="D28" s="216" t="s">
        <v>587</v>
      </c>
      <c r="E28" s="216"/>
      <c r="F28" s="255"/>
      <c r="G28" s="255"/>
      <c r="H28" s="255"/>
      <c r="I28" s="255"/>
      <c r="J28" s="255"/>
      <c r="K28" s="255"/>
      <c r="L28" s="855">
        <f>N18+L19+L20+L21+L22+L23+L24+L25+L26+L27</f>
        <v>15173</v>
      </c>
      <c r="M28" s="855"/>
    </row>
    <row r="29" spans="4:14" ht="15" customHeight="1" x14ac:dyDescent="0.2">
      <c r="F29" s="265"/>
      <c r="G29" s="265"/>
      <c r="H29" s="265"/>
      <c r="I29" s="265"/>
      <c r="J29" s="265"/>
      <c r="K29" s="265"/>
      <c r="L29" s="265"/>
    </row>
    <row r="30" spans="4:14" ht="15" customHeight="1" x14ac:dyDescent="0.2">
      <c r="D30" s="216" t="s">
        <v>595</v>
      </c>
      <c r="E30" s="216"/>
      <c r="F30" s="255" t="s">
        <v>1121</v>
      </c>
      <c r="G30" s="255"/>
      <c r="H30" s="255" t="s">
        <v>585</v>
      </c>
      <c r="I30" s="255"/>
      <c r="J30" s="255" t="s">
        <v>586</v>
      </c>
      <c r="K30" s="255"/>
      <c r="L30" s="754" t="s">
        <v>587</v>
      </c>
      <c r="M30" s="754"/>
    </row>
    <row r="31" spans="4:14" ht="15" customHeight="1" x14ac:dyDescent="0.2">
      <c r="D31" s="266" t="s">
        <v>596</v>
      </c>
      <c r="F31" s="265" t="s">
        <v>610</v>
      </c>
      <c r="G31" s="265"/>
      <c r="H31" s="237">
        <v>100</v>
      </c>
      <c r="I31" s="265"/>
      <c r="J31" s="20">
        <v>15</v>
      </c>
      <c r="K31" s="265"/>
      <c r="L31" s="864">
        <f>H31*J31</f>
        <v>1500</v>
      </c>
      <c r="M31" s="864"/>
    </row>
    <row r="32" spans="4:14" ht="15" customHeight="1" x14ac:dyDescent="0.2">
      <c r="D32" s="266" t="s">
        <v>643</v>
      </c>
      <c r="F32" s="265" t="s">
        <v>610</v>
      </c>
      <c r="G32" s="265"/>
      <c r="H32" s="237">
        <v>90</v>
      </c>
      <c r="I32" s="265"/>
      <c r="J32" s="20">
        <v>24</v>
      </c>
      <c r="K32" s="265"/>
      <c r="L32" s="864">
        <f>H32*J32</f>
        <v>2160</v>
      </c>
      <c r="M32" s="864"/>
    </row>
    <row r="33" spans="4:13" ht="15" customHeight="1" x14ac:dyDescent="0.2">
      <c r="D33" s="266" t="s">
        <v>612</v>
      </c>
      <c r="F33" s="265" t="s">
        <v>610</v>
      </c>
      <c r="G33" s="265"/>
      <c r="H33" s="237">
        <v>0</v>
      </c>
      <c r="I33" s="265"/>
      <c r="J33" s="20">
        <v>12</v>
      </c>
      <c r="K33" s="265"/>
      <c r="L33" s="864">
        <f>H33*J33</f>
        <v>0</v>
      </c>
      <c r="M33" s="864"/>
    </row>
    <row r="34" spans="4:13" ht="15" customHeight="1" x14ac:dyDescent="0.2">
      <c r="D34" s="27" t="s">
        <v>613</v>
      </c>
      <c r="E34" s="27"/>
      <c r="F34" s="208" t="s">
        <v>610</v>
      </c>
      <c r="G34" s="263"/>
      <c r="H34" s="237">
        <v>320</v>
      </c>
      <c r="I34" s="263"/>
      <c r="J34" s="20">
        <v>12</v>
      </c>
      <c r="K34" s="263"/>
      <c r="L34" s="864">
        <f>H34*J34</f>
        <v>3840</v>
      </c>
      <c r="M34" s="864"/>
    </row>
    <row r="35" spans="4:13" ht="15" customHeight="1" x14ac:dyDescent="0.2">
      <c r="D35" s="27" t="s">
        <v>644</v>
      </c>
      <c r="E35" s="27"/>
      <c r="F35" s="208" t="s">
        <v>610</v>
      </c>
      <c r="G35" s="263"/>
      <c r="H35" s="237">
        <v>10</v>
      </c>
      <c r="I35" s="263"/>
      <c r="J35" s="20">
        <v>12</v>
      </c>
      <c r="K35" s="263"/>
      <c r="L35" s="864">
        <f>H35*J35</f>
        <v>120</v>
      </c>
      <c r="M35" s="864"/>
    </row>
    <row r="36" spans="4:13" ht="15" customHeight="1" x14ac:dyDescent="0.2">
      <c r="D36" s="216" t="s">
        <v>587</v>
      </c>
      <c r="E36" s="216"/>
      <c r="F36" s="255"/>
      <c r="G36" s="255"/>
      <c r="H36" s="255"/>
      <c r="I36" s="255"/>
      <c r="J36" s="255"/>
      <c r="K36" s="255"/>
      <c r="L36" s="855">
        <f>L31+L32+L33+L34+L35</f>
        <v>7620</v>
      </c>
      <c r="M36" s="855"/>
    </row>
    <row r="37" spans="4:13" ht="15" customHeight="1" x14ac:dyDescent="0.2">
      <c r="H37" s="265"/>
      <c r="J37" s="265"/>
      <c r="L37" s="265"/>
    </row>
    <row r="38" spans="4:13" ht="15" customHeight="1" x14ac:dyDescent="0.2">
      <c r="F38" s="266" t="s">
        <v>619</v>
      </c>
      <c r="I38" s="225" t="s">
        <v>620</v>
      </c>
      <c r="J38" s="869">
        <f>L28+L36</f>
        <v>22793</v>
      </c>
      <c r="K38" s="870"/>
      <c r="L38" s="265"/>
    </row>
    <row r="39" spans="4:13" ht="15" customHeight="1" x14ac:dyDescent="0.2">
      <c r="I39" s="225"/>
    </row>
    <row r="40" spans="4:13" ht="15" customHeight="1" x14ac:dyDescent="0.2">
      <c r="F40" s="266" t="s">
        <v>621</v>
      </c>
      <c r="I40" s="225" t="s">
        <v>620</v>
      </c>
      <c r="J40" s="869">
        <f>(L28+L36)/I11</f>
        <v>2279.3000000000002</v>
      </c>
      <c r="K40" s="870"/>
    </row>
    <row r="41" spans="4:13" ht="15" customHeight="1" x14ac:dyDescent="0.2">
      <c r="I41" s="225"/>
      <c r="J41" s="212"/>
    </row>
    <row r="42" spans="4:13" ht="15" customHeight="1" x14ac:dyDescent="0.2">
      <c r="F42" s="266" t="s">
        <v>1145</v>
      </c>
      <c r="I42" s="225" t="s">
        <v>620</v>
      </c>
      <c r="J42" s="876">
        <v>4</v>
      </c>
      <c r="K42" s="877"/>
    </row>
    <row r="43" spans="4:13" ht="15" customHeight="1" x14ac:dyDescent="0.2">
      <c r="I43" s="225"/>
    </row>
    <row r="44" spans="4:13" ht="15" customHeight="1" x14ac:dyDescent="0.2">
      <c r="F44" s="266" t="s">
        <v>623</v>
      </c>
      <c r="I44" s="225" t="s">
        <v>620</v>
      </c>
      <c r="J44" s="867">
        <f>((I13)*1000*J42)-J38</f>
        <v>97207</v>
      </c>
      <c r="K44" s="868"/>
    </row>
    <row r="45" spans="4:13" ht="15" customHeight="1" x14ac:dyDescent="0.2">
      <c r="I45" s="225"/>
      <c r="J45" s="213"/>
    </row>
    <row r="46" spans="4:13" ht="15" customHeight="1" x14ac:dyDescent="0.2">
      <c r="F46" s="266" t="s">
        <v>624</v>
      </c>
      <c r="I46" s="225" t="s">
        <v>620</v>
      </c>
      <c r="J46" s="867">
        <f>J44/I11</f>
        <v>9720.7000000000007</v>
      </c>
      <c r="K46" s="868"/>
    </row>
    <row r="47" spans="4:13" ht="15" customHeight="1" x14ac:dyDescent="0.2"/>
    <row r="48" spans="4:13" ht="15" hidden="1" customHeight="1" x14ac:dyDescent="0.2"/>
    <row r="49" spans="4:4" ht="15" hidden="1" customHeight="1" x14ac:dyDescent="0.2"/>
    <row r="50" spans="4:4" ht="15" hidden="1" customHeight="1" x14ac:dyDescent="0.2"/>
    <row r="51" spans="4:4" ht="15" hidden="1" customHeight="1" x14ac:dyDescent="0.2"/>
    <row r="52" spans="4:4" ht="15" hidden="1" customHeight="1" x14ac:dyDescent="0.2"/>
    <row r="53" spans="4:4" ht="15" hidden="1" customHeight="1" x14ac:dyDescent="0.2"/>
    <row r="54" spans="4:4" ht="15" hidden="1" customHeight="1" x14ac:dyDescent="0.2"/>
    <row r="55" spans="4:4" ht="15" hidden="1" customHeight="1" x14ac:dyDescent="0.2"/>
    <row r="56" spans="4:4" ht="15" hidden="1" customHeight="1" x14ac:dyDescent="0.2">
      <c r="D56" s="207"/>
    </row>
    <row r="57" spans="4:4" ht="15" hidden="1" customHeight="1" x14ac:dyDescent="0.2"/>
    <row r="58" spans="4:4" ht="15" hidden="1" customHeight="1" x14ac:dyDescent="0.2"/>
    <row r="59" spans="4:4" ht="15" hidden="1" customHeight="1" x14ac:dyDescent="0.2"/>
    <row r="60" spans="4:4" ht="15" hidden="1" customHeight="1" x14ac:dyDescent="0.2"/>
    <row r="61" spans="4:4" ht="15" hidden="1" customHeight="1" x14ac:dyDescent="0.2"/>
    <row r="62" spans="4:4" ht="15" hidden="1" customHeight="1" x14ac:dyDescent="0.2"/>
    <row r="63" spans="4:4" ht="15" hidden="1" customHeight="1" x14ac:dyDescent="0.2"/>
    <row r="64" spans="4: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</sheetData>
  <sheetProtection algorithmName="SHA-512" hashValue="mW+7frawmis4qT6hO/ODW5JJP9Pya89jCeenCJBV3EPyv5WPiJ7nyiPwJf24456DFTiMFwl4PPNyvFoYji1gjw==" saltValue="SMRIB9L1sXGcgUPbLTo3lQ==" spinCount="100000" sheet="1" objects="1" scenarios="1" selectLockedCells="1"/>
  <mergeCells count="26">
    <mergeCell ref="J38:K38"/>
    <mergeCell ref="J40:K40"/>
    <mergeCell ref="J42:K42"/>
    <mergeCell ref="J44:K44"/>
    <mergeCell ref="J46:K46"/>
    <mergeCell ref="L27:M27"/>
    <mergeCell ref="L28:M28"/>
    <mergeCell ref="L36:M36"/>
    <mergeCell ref="L35:M35"/>
    <mergeCell ref="L34:M34"/>
    <mergeCell ref="L33:M33"/>
    <mergeCell ref="L32:M32"/>
    <mergeCell ref="L31:M31"/>
    <mergeCell ref="L30:M30"/>
    <mergeCell ref="C6:N6"/>
    <mergeCell ref="E8:M8"/>
    <mergeCell ref="L17:M17"/>
    <mergeCell ref="L18:M18"/>
    <mergeCell ref="L19:M19"/>
    <mergeCell ref="L25:M25"/>
    <mergeCell ref="L26:M26"/>
    <mergeCell ref="L20:M20"/>
    <mergeCell ref="L21:M21"/>
    <mergeCell ref="L22:M22"/>
    <mergeCell ref="L23:M23"/>
    <mergeCell ref="L24:M24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2">
    <pageSetUpPr fitToPage="1"/>
  </sheetPr>
  <dimension ref="A1:X59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ht="15" customHeight="1" x14ac:dyDescent="0.2">
      <c r="G10" s="281"/>
      <c r="H10" s="281"/>
      <c r="I10" s="281"/>
      <c r="J10" s="283"/>
    </row>
    <row r="11" spans="1:16" ht="15" customHeight="1" x14ac:dyDescent="0.2">
      <c r="D11" s="266" t="s">
        <v>671</v>
      </c>
      <c r="G11" s="237">
        <v>3</v>
      </c>
      <c r="H11" s="298" t="s">
        <v>2070</v>
      </c>
      <c r="I11" s="237">
        <v>1.3</v>
      </c>
      <c r="J11" s="298" t="s">
        <v>2100</v>
      </c>
      <c r="K11" s="310">
        <f>10000/(G11*I11)*0.6</f>
        <v>1538.4615384615383</v>
      </c>
      <c r="L11" s="266" t="s">
        <v>353</v>
      </c>
    </row>
    <row r="12" spans="1:16" ht="15" customHeight="1" x14ac:dyDescent="0.2">
      <c r="K12" s="208"/>
      <c r="L12" s="27"/>
      <c r="M12" s="27"/>
      <c r="N12" s="299"/>
    </row>
    <row r="13" spans="1:16" ht="15" customHeight="1" x14ac:dyDescent="0.2">
      <c r="D13" s="49" t="s">
        <v>1703</v>
      </c>
      <c r="G13" s="237">
        <v>5</v>
      </c>
      <c r="H13" s="49" t="s">
        <v>1953</v>
      </c>
      <c r="I13" s="271"/>
    </row>
    <row r="14" spans="1:16" ht="15" customHeight="1" x14ac:dyDescent="0.2">
      <c r="G14" s="237">
        <v>50</v>
      </c>
      <c r="H14" s="49" t="s">
        <v>1933</v>
      </c>
      <c r="I14" s="271"/>
    </row>
    <row r="15" spans="1:16" ht="15" customHeight="1" x14ac:dyDescent="0.2">
      <c r="G15" s="237">
        <v>8</v>
      </c>
      <c r="H15" s="49" t="s">
        <v>1934</v>
      </c>
      <c r="I15" s="271"/>
    </row>
    <row r="16" spans="1:16" ht="15" customHeight="1" x14ac:dyDescent="0.2">
      <c r="G16" s="237">
        <v>30</v>
      </c>
      <c r="H16" s="49" t="s">
        <v>1929</v>
      </c>
      <c r="I16" s="271"/>
    </row>
    <row r="17" spans="4:24" ht="15" customHeight="1" x14ac:dyDescent="0.2">
      <c r="G17" s="265"/>
      <c r="H17" s="49"/>
      <c r="I17" s="271"/>
    </row>
    <row r="18" spans="4:24" ht="15" customHeight="1" x14ac:dyDescent="0.25">
      <c r="D18" s="266" t="s">
        <v>340</v>
      </c>
      <c r="G18" s="237">
        <v>90</v>
      </c>
      <c r="H18" s="49" t="s">
        <v>341</v>
      </c>
      <c r="I18" s="271"/>
      <c r="S18" s="164"/>
    </row>
    <row r="19" spans="4:24" ht="15" customHeight="1" x14ac:dyDescent="0.2">
      <c r="D19" s="275"/>
      <c r="E19" s="275"/>
      <c r="F19" s="275"/>
      <c r="G19" s="281"/>
      <c r="H19" s="281"/>
      <c r="I19" s="281"/>
      <c r="J19" s="283"/>
    </row>
    <row r="20" spans="4:24" ht="15" customHeight="1" x14ac:dyDescent="0.25">
      <c r="D20" s="291" t="s">
        <v>350</v>
      </c>
      <c r="E20" s="314"/>
      <c r="F20" s="314"/>
      <c r="G20" s="281"/>
      <c r="H20" s="281"/>
      <c r="I20" s="281"/>
      <c r="J20" s="283"/>
    </row>
    <row r="21" spans="4:24" ht="15" customHeight="1" x14ac:dyDescent="0.2">
      <c r="D21" s="277" t="s">
        <v>2152</v>
      </c>
      <c r="E21" s="281"/>
      <c r="F21" s="281"/>
      <c r="G21" s="281"/>
      <c r="H21" s="281"/>
      <c r="I21" s="281"/>
      <c r="J21" s="275"/>
    </row>
    <row r="22" spans="4:24" ht="15" customHeight="1" x14ac:dyDescent="0.2">
      <c r="D22" s="273" t="s">
        <v>1708</v>
      </c>
      <c r="E22" s="275"/>
      <c r="F22" s="275"/>
      <c r="G22" s="286">
        <f>IF((G15*(80-G16)/G18)&gt;0,G15*(80-G16)/G18,0)</f>
        <v>4.4444444444444446</v>
      </c>
      <c r="H22" s="280" t="s">
        <v>1019</v>
      </c>
      <c r="J22" s="281"/>
    </row>
    <row r="23" spans="4:24" ht="15" customHeight="1" x14ac:dyDescent="0.2"/>
    <row r="24" spans="4:24" ht="15" customHeight="1" x14ac:dyDescent="0.2">
      <c r="D24" s="169" t="s">
        <v>2192</v>
      </c>
      <c r="E24" s="34"/>
      <c r="F24" s="34"/>
      <c r="G24" s="34"/>
      <c r="H24" s="34"/>
      <c r="I24" s="34"/>
    </row>
    <row r="25" spans="4:24" ht="15" customHeight="1" x14ac:dyDescent="0.2">
      <c r="E25" s="49" t="s">
        <v>2194</v>
      </c>
    </row>
    <row r="26" spans="4:24" ht="15" customHeight="1" x14ac:dyDescent="0.2">
      <c r="E26" s="298" t="str">
        <f>W26&amp;" g de superfosfato simples."</f>
        <v>300 g de superfosfato simples.</v>
      </c>
      <c r="F26" s="169"/>
      <c r="W26" s="265" t="str">
        <f>IF(G13&lt;10,"300",IF(AND(G13&gt;=10,G13&lt;20),"200","100"))</f>
        <v>300</v>
      </c>
      <c r="X26" s="266" t="s">
        <v>344</v>
      </c>
    </row>
    <row r="27" spans="4:24" ht="15" customHeight="1" x14ac:dyDescent="0.2">
      <c r="E27" s="49" t="s">
        <v>2193</v>
      </c>
    </row>
    <row r="28" spans="4:24" ht="15" customHeight="1" x14ac:dyDescent="0.2"/>
    <row r="29" spans="4:24" ht="15" customHeight="1" x14ac:dyDescent="0.2">
      <c r="D29" s="169" t="s">
        <v>2195</v>
      </c>
      <c r="E29" s="34"/>
      <c r="F29" s="34"/>
    </row>
    <row r="30" spans="4:24" ht="15" customHeight="1" x14ac:dyDescent="0.2">
      <c r="E30" s="302" t="s">
        <v>2196</v>
      </c>
      <c r="G30" s="170" t="s">
        <v>2202</v>
      </c>
      <c r="H30" s="170" t="str">
        <f>IF(G14&lt;60,"20-00-10","Sulfato de Amônio")</f>
        <v>20-00-10</v>
      </c>
    </row>
    <row r="31" spans="4:24" ht="15" customHeight="1" x14ac:dyDescent="0.2">
      <c r="E31" s="302" t="s">
        <v>2197</v>
      </c>
      <c r="G31" s="170" t="s">
        <v>2203</v>
      </c>
      <c r="H31" s="49" t="str">
        <f>IF(G14&lt;60,"20-00-20",IF(AND(G14&gt;=60,G14&lt;120),"20-00-10","Sulfato de Amônio"))</f>
        <v>20-00-20</v>
      </c>
    </row>
    <row r="32" spans="4:24" ht="15" customHeight="1" x14ac:dyDescent="0.2">
      <c r="E32" s="302" t="s">
        <v>2198</v>
      </c>
      <c r="G32" s="170" t="s">
        <v>2204</v>
      </c>
      <c r="H32" s="49"/>
    </row>
    <row r="33" spans="2:18" ht="15" customHeight="1" x14ac:dyDescent="0.2">
      <c r="E33" s="302" t="s">
        <v>2199</v>
      </c>
      <c r="G33" s="170" t="s">
        <v>2205</v>
      </c>
      <c r="H33" s="49" t="str">
        <f>IF(G14&lt;80,"20-00-30",IF(AND(G14&gt;=80,G14&lt;150),"20-00-20","Sulfato de Amônio"))</f>
        <v>20-00-30</v>
      </c>
    </row>
    <row r="34" spans="2:18" ht="15" customHeight="1" x14ac:dyDescent="0.2">
      <c r="E34" s="302" t="s">
        <v>2200</v>
      </c>
      <c r="G34" s="170" t="s">
        <v>2206</v>
      </c>
      <c r="H34" s="49" t="str">
        <f>IF(G14&lt;100,"20-00-30",IF(AND(G14&gt;=100,G14&lt;200),"20-00-20","Sulfato de Amônio"))</f>
        <v>20-00-30</v>
      </c>
      <c r="M34" s="272"/>
    </row>
    <row r="35" spans="2:18" ht="15" customHeight="1" x14ac:dyDescent="0.2">
      <c r="E35" s="302" t="s">
        <v>2201</v>
      </c>
      <c r="G35" s="170" t="s">
        <v>2207</v>
      </c>
      <c r="H35" s="49" t="str">
        <f>IF(G14&lt;100,"20-00-30",IF(AND(G14&gt;=100,G14&lt;200),"20-00-20","Sulfato de Amônio"))</f>
        <v>20-00-30</v>
      </c>
      <c r="M35" s="281"/>
      <c r="N35" s="281"/>
      <c r="O35" s="60"/>
      <c r="P35" s="60"/>
      <c r="Q35" s="60"/>
    </row>
    <row r="36" spans="2:18" ht="15" customHeight="1" x14ac:dyDescent="0.2">
      <c r="M36" s="60"/>
      <c r="N36" s="60"/>
      <c r="O36" s="60"/>
      <c r="P36" s="60"/>
      <c r="Q36" s="60"/>
    </row>
    <row r="37" spans="2:18" ht="15" customHeight="1" x14ac:dyDescent="0.2">
      <c r="D37" s="277" t="s">
        <v>2208</v>
      </c>
      <c r="E37" s="275"/>
      <c r="F37" s="169"/>
      <c r="K37" s="272"/>
      <c r="L37" s="272"/>
      <c r="M37" s="60"/>
      <c r="N37" s="60"/>
      <c r="O37" s="60"/>
      <c r="P37" s="60"/>
      <c r="Q37" s="60"/>
    </row>
    <row r="38" spans="2:18" ht="15" customHeight="1" x14ac:dyDescent="0.2">
      <c r="F38" s="275"/>
      <c r="G38" s="281"/>
      <c r="H38" s="281"/>
      <c r="I38" s="281"/>
      <c r="J38" s="281"/>
      <c r="K38" s="281"/>
      <c r="L38" s="281"/>
      <c r="M38" s="60"/>
      <c r="N38" s="60"/>
      <c r="O38" s="60"/>
      <c r="P38" s="60"/>
      <c r="Q38" s="60"/>
      <c r="R38" s="60"/>
    </row>
    <row r="39" spans="2:18" s="60" customFormat="1" ht="15" customHeight="1" x14ac:dyDescent="0.2">
      <c r="D39" s="267" t="s">
        <v>891</v>
      </c>
      <c r="E39" s="878">
        <f ca="1">TODAY()</f>
        <v>45064</v>
      </c>
      <c r="F39" s="783"/>
      <c r="G39" s="60" t="s">
        <v>145</v>
      </c>
    </row>
    <row r="40" spans="2:18" s="60" customFormat="1" ht="15" customHeight="1" x14ac:dyDescent="0.2">
      <c r="D40" s="267"/>
      <c r="E40" s="267"/>
      <c r="F40" s="267"/>
    </row>
    <row r="41" spans="2:18" s="60" customFormat="1" ht="15" hidden="1" customHeight="1" x14ac:dyDescent="0.2">
      <c r="D41" s="267"/>
      <c r="E41" s="267"/>
      <c r="F41" s="267"/>
    </row>
    <row r="42" spans="2:18" s="60" customFormat="1" ht="15" hidden="1" customHeight="1" x14ac:dyDescent="0.2">
      <c r="D42" s="267"/>
      <c r="E42" s="267"/>
      <c r="F42" s="267"/>
    </row>
    <row r="43" spans="2:18" s="60" customFormat="1" ht="15" hidden="1" customHeight="1" x14ac:dyDescent="0.2">
      <c r="B43" s="267"/>
      <c r="C43" s="267"/>
      <c r="D43" s="267"/>
    </row>
    <row r="44" spans="2:18" s="60" customFormat="1" ht="15" hidden="1" customHeight="1" x14ac:dyDescent="0.2">
      <c r="B44" s="267"/>
      <c r="C44" s="267"/>
      <c r="D44" s="267"/>
      <c r="I44" s="33"/>
      <c r="J44" s="111"/>
      <c r="K44" s="111"/>
    </row>
    <row r="45" spans="2:18" s="60" customFormat="1" ht="15" hidden="1" customHeight="1" x14ac:dyDescent="0.2">
      <c r="B45" s="267"/>
      <c r="C45" s="267"/>
      <c r="D45" s="267"/>
      <c r="E45" s="267"/>
    </row>
    <row r="46" spans="2:18" s="60" customFormat="1" ht="15" hidden="1" customHeight="1" x14ac:dyDescent="0.2">
      <c r="B46" s="267"/>
      <c r="C46" s="267"/>
      <c r="D46" s="267"/>
      <c r="E46" s="267"/>
    </row>
    <row r="47" spans="2:18" s="60" customFormat="1" ht="15" hidden="1" customHeight="1" x14ac:dyDescent="0.2">
      <c r="B47" s="267"/>
      <c r="C47" s="267"/>
      <c r="D47" s="267"/>
      <c r="E47" s="267"/>
      <c r="M47" s="266"/>
      <c r="N47" s="266"/>
      <c r="O47" s="266"/>
      <c r="P47" s="266"/>
    </row>
    <row r="48" spans="2:18" s="60" customFormat="1" ht="15" hidden="1" customHeight="1" x14ac:dyDescent="0.2">
      <c r="B48" s="267"/>
      <c r="C48" s="267"/>
      <c r="D48" s="267"/>
      <c r="E48" s="267"/>
      <c r="M48" s="266"/>
      <c r="N48" s="266"/>
      <c r="O48" s="266"/>
      <c r="P48" s="266"/>
      <c r="Q48" s="266"/>
    </row>
    <row r="49" spans="2:17" s="60" customFormat="1" ht="15" hidden="1" customHeight="1" x14ac:dyDescent="0.2">
      <c r="B49" s="267"/>
      <c r="C49" s="267"/>
      <c r="D49" s="267"/>
      <c r="E49" s="267"/>
      <c r="M49" s="266"/>
      <c r="N49" s="266"/>
      <c r="O49" s="266"/>
      <c r="P49" s="266"/>
      <c r="Q49" s="266"/>
    </row>
    <row r="50" spans="2:17" s="60" customFormat="1" ht="15" hidden="1" customHeight="1" x14ac:dyDescent="0.2">
      <c r="B50" s="267"/>
      <c r="C50" s="267"/>
      <c r="D50" s="267"/>
      <c r="E50" s="267"/>
      <c r="M50" s="266"/>
      <c r="N50" s="266"/>
      <c r="O50" s="266"/>
      <c r="P50" s="266"/>
      <c r="Q50" s="266"/>
    </row>
    <row r="51" spans="2:17" ht="15" hidden="1" customHeight="1" x14ac:dyDescent="0.2"/>
    <row r="52" spans="2:17" ht="15" hidden="1" customHeight="1" x14ac:dyDescent="0.2"/>
    <row r="53" spans="2:17" ht="15" hidden="1" customHeight="1" x14ac:dyDescent="0.2"/>
    <row r="54" spans="2:17" ht="15" hidden="1" customHeight="1" x14ac:dyDescent="0.2"/>
    <row r="55" spans="2:17" ht="15" hidden="1" customHeight="1" x14ac:dyDescent="0.2"/>
    <row r="56" spans="2:17" ht="15" hidden="1" customHeight="1" x14ac:dyDescent="0.2"/>
    <row r="57" spans="2:17" ht="15" hidden="1" customHeight="1" x14ac:dyDescent="0.2"/>
    <row r="58" spans="2:17" ht="15" hidden="1" customHeight="1" x14ac:dyDescent="0.2"/>
    <row r="59" spans="2:17" ht="15" hidden="1" customHeight="1" x14ac:dyDescent="0.2"/>
  </sheetData>
  <sheetProtection algorithmName="SHA-512" hashValue="pW5HwMoPLpuUnujfH0xGDeODrjCkj7J2pqDi3QqCYIRpU9vy1bnlMpSM78xEf2td4bCFVdEM2nCI/OViwBvMrA==" saltValue="td35zJHZqPDjpL0scfYEEg==" spinCount="100000" sheet="1" objects="1" scenarios="1" selectLockedCells="1"/>
  <mergeCells count="3">
    <mergeCell ref="C6:N6"/>
    <mergeCell ref="E39:F39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4">
    <pageSetUpPr fitToPage="1"/>
  </sheetPr>
  <dimension ref="A1:P15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31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HYPERLINK("#"&amp;"'Manga1a2'!H1","Formação - 1 a 2 anos")</f>
        <v>Formação - 1 a 2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HYPERLINK("#"&amp;"'Manga3a4'!H1","Formação - 3 a 4 anos")</f>
        <v>Formação - 3 a 4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HYPERLINK("#"&amp;"'MangaProd'!h1","Produção (5° ano em diante)")</f>
        <v>Produção (5° ano em diante)</v>
      </c>
      <c r="G12" s="711"/>
      <c r="H12" s="711"/>
      <c r="I12" s="711"/>
      <c r="J12" s="711"/>
    </row>
    <row r="13" spans="1:16" ht="24.95" customHeight="1" thickTop="1" x14ac:dyDescent="0.2">
      <c r="D13" s="36"/>
    </row>
    <row r="14" spans="1:16" ht="24.95" customHeight="1" x14ac:dyDescent="0.2"/>
    <row r="15" spans="1:16" ht="24.95" customHeight="1" x14ac:dyDescent="0.2"/>
  </sheetData>
  <sheetProtection algorithmName="SHA-512" hashValue="35V00vhNKjNh9ZvT6mXe1ism09HY1C+NMhMcT1s5cyHStF+IFYkeAa7ZPHCV7/sM5cyq56P6wb707AgodilkkA==" saltValue="l5xBcrep4NY7V/Rmx2ei0Q==" spinCount="100000" sheet="1" objects="1" scenarios="1"/>
  <mergeCells count="6">
    <mergeCell ref="F12:J12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6">
    <pageSetUpPr fitToPage="1"/>
  </sheetPr>
  <dimension ref="A1:Y7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s="60" customFormat="1" ht="15" customHeight="1" x14ac:dyDescent="0.2">
      <c r="D10" s="266"/>
      <c r="E10" s="263"/>
      <c r="F10" s="265"/>
      <c r="G10" s="263"/>
      <c r="H10" s="265"/>
      <c r="I10" s="310"/>
      <c r="J10" s="281"/>
    </row>
    <row r="11" spans="1:16" s="60" customFormat="1" ht="15" customHeight="1" x14ac:dyDescent="0.25">
      <c r="D11" s="164" t="s">
        <v>1858</v>
      </c>
      <c r="E11" s="34"/>
      <c r="F11" s="266"/>
      <c r="G11" s="266"/>
      <c r="H11" s="266"/>
      <c r="I11" s="266"/>
      <c r="J11" s="266"/>
      <c r="K11" s="266"/>
      <c r="L11" s="266"/>
      <c r="M11" s="266"/>
      <c r="N11" s="266"/>
    </row>
    <row r="12" spans="1:16" s="60" customFormat="1" ht="15" customHeight="1" x14ac:dyDescent="0.2">
      <c r="D12" s="266"/>
      <c r="E12" s="49" t="s">
        <v>2250</v>
      </c>
      <c r="F12" s="266"/>
      <c r="G12" s="266"/>
      <c r="H12" s="266"/>
      <c r="I12" s="266"/>
      <c r="J12" s="266"/>
      <c r="K12" s="266"/>
      <c r="L12" s="266"/>
      <c r="M12" s="266"/>
      <c r="N12" s="266"/>
    </row>
    <row r="13" spans="1:16" s="60" customFormat="1" ht="15" customHeight="1" x14ac:dyDescent="0.2">
      <c r="D13" s="266"/>
      <c r="E13" s="49" t="s">
        <v>2251</v>
      </c>
      <c r="F13" s="266"/>
      <c r="G13" s="266"/>
      <c r="H13" s="266"/>
      <c r="I13" s="266"/>
      <c r="J13" s="266"/>
      <c r="K13" s="266"/>
      <c r="L13" s="266"/>
      <c r="N13" s="266"/>
    </row>
    <row r="14" spans="1:16" s="60" customFormat="1" ht="15" customHeight="1" x14ac:dyDescent="0.2">
      <c r="D14" s="266"/>
      <c r="E14" s="49" t="s">
        <v>2256</v>
      </c>
      <c r="F14" s="266"/>
      <c r="G14" s="266"/>
      <c r="H14" s="266"/>
      <c r="I14" s="266"/>
      <c r="J14" s="266"/>
      <c r="K14" s="266"/>
      <c r="L14" s="266"/>
      <c r="N14" s="266"/>
    </row>
    <row r="15" spans="1:16" s="60" customFormat="1" ht="15" customHeight="1" x14ac:dyDescent="0.2">
      <c r="D15" s="266"/>
      <c r="E15" s="266"/>
      <c r="F15" s="266"/>
      <c r="G15" s="266"/>
      <c r="H15" s="266"/>
      <c r="I15" s="266"/>
      <c r="J15" s="266"/>
      <c r="K15" s="266"/>
      <c r="L15" s="266"/>
      <c r="N15" s="266"/>
    </row>
    <row r="16" spans="1:16" ht="15" customHeight="1" x14ac:dyDescent="0.2"/>
    <row r="17" spans="4:25" ht="15" customHeight="1" x14ac:dyDescent="0.25">
      <c r="D17" s="164" t="s">
        <v>1940</v>
      </c>
      <c r="E17" s="34"/>
    </row>
    <row r="18" spans="4:25" ht="15" customHeight="1" x14ac:dyDescent="0.2">
      <c r="D18" s="49" t="s">
        <v>1703</v>
      </c>
      <c r="G18" s="237">
        <v>5</v>
      </c>
      <c r="H18" s="49" t="s">
        <v>1953</v>
      </c>
    </row>
    <row r="19" spans="4:25" ht="15" customHeight="1" x14ac:dyDescent="0.2">
      <c r="G19" s="237">
        <v>150</v>
      </c>
      <c r="H19" s="49" t="s">
        <v>1933</v>
      </c>
    </row>
    <row r="20" spans="4:25" ht="15" customHeight="1" x14ac:dyDescent="0.2">
      <c r="G20" s="237">
        <v>20</v>
      </c>
      <c r="H20" s="273" t="s">
        <v>1929</v>
      </c>
    </row>
    <row r="21" spans="4:25" ht="15" customHeight="1" x14ac:dyDescent="0.2">
      <c r="G21" s="5">
        <v>7</v>
      </c>
      <c r="H21" s="273" t="s">
        <v>1934</v>
      </c>
    </row>
    <row r="22" spans="4:25" ht="15" customHeight="1" x14ac:dyDescent="0.2">
      <c r="H22" s="275"/>
    </row>
    <row r="23" spans="4:25" ht="15" customHeight="1" x14ac:dyDescent="0.2">
      <c r="D23" s="273" t="s">
        <v>340</v>
      </c>
      <c r="G23" s="237">
        <v>80</v>
      </c>
      <c r="H23" s="273" t="s">
        <v>341</v>
      </c>
    </row>
    <row r="24" spans="4:25" ht="15" customHeight="1" x14ac:dyDescent="0.2"/>
    <row r="25" spans="4:25" ht="15" customHeight="1" x14ac:dyDescent="0.25">
      <c r="D25" s="326" t="s">
        <v>350</v>
      </c>
    </row>
    <row r="26" spans="4:25" ht="15" customHeight="1" x14ac:dyDescent="0.2">
      <c r="D26" s="222" t="s">
        <v>573</v>
      </c>
    </row>
    <row r="27" spans="4:25" ht="15" customHeight="1" x14ac:dyDescent="0.2">
      <c r="D27" s="273" t="s">
        <v>1708</v>
      </c>
      <c r="G27" s="286">
        <f>IF((G21*(60-G20)/G23)&gt;0,G21*(60-G20)/G23,0)</f>
        <v>3.5</v>
      </c>
      <c r="H27" s="273" t="s">
        <v>2253</v>
      </c>
    </row>
    <row r="28" spans="4:25" ht="15" customHeight="1" x14ac:dyDescent="0.2"/>
    <row r="29" spans="4:25" ht="15" customHeight="1" x14ac:dyDescent="0.2">
      <c r="D29" s="320" t="s">
        <v>2062</v>
      </c>
      <c r="F29" s="280"/>
      <c r="G29" s="169"/>
      <c r="H29" s="283"/>
    </row>
    <row r="30" spans="4:25" ht="15" customHeight="1" x14ac:dyDescent="0.2">
      <c r="D30" s="275"/>
      <c r="F30" s="225" t="s">
        <v>637</v>
      </c>
      <c r="G30" s="224">
        <f>W30*5</f>
        <v>500</v>
      </c>
      <c r="H30" s="292" t="s">
        <v>2235</v>
      </c>
      <c r="W30" s="325" t="str">
        <f>IF(G18&lt;10,"100",IF(AND(G18&gt;=10,G18&lt;20),"80",IF(AND(G18&gt;=20,G18&lt;50),"40",0)))</f>
        <v>100</v>
      </c>
      <c r="X30" s="26" t="s">
        <v>649</v>
      </c>
      <c r="Y30" s="26"/>
    </row>
    <row r="31" spans="4:25" ht="15" customHeight="1" x14ac:dyDescent="0.2">
      <c r="F31" s="226" t="s">
        <v>1139</v>
      </c>
      <c r="G31" s="276">
        <f>(W31*5)/3</f>
        <v>100</v>
      </c>
      <c r="H31" s="292" t="str">
        <f>"g/planta de "&amp;Y31&amp;"."</f>
        <v>g/planta de 20-00-15.</v>
      </c>
      <c r="I31" s="279"/>
      <c r="W31" s="171">
        <v>60</v>
      </c>
      <c r="X31" s="26" t="s">
        <v>650</v>
      </c>
      <c r="Y31" s="273" t="str">
        <f>IF(G19&lt;60,"20-00-30",IF(AND(G19&gt;=60,G19&lt;120),"20-00-20",IF(AND(G19&gt;=120,G19&lt;200),"20-00-15",IF(AND(G19&gt;=200,G19&lt;280),"20-00-10","Sulfato de Amônio"))))</f>
        <v>20-00-15</v>
      </c>
    </row>
    <row r="32" spans="4:25" ht="15" customHeight="1" x14ac:dyDescent="0.2">
      <c r="D32" s="275"/>
      <c r="E32" s="220"/>
      <c r="F32" s="280"/>
      <c r="G32" s="281"/>
      <c r="H32" s="281"/>
      <c r="I32" s="281"/>
      <c r="J32" s="281"/>
      <c r="K32" s="281"/>
      <c r="L32" s="281"/>
      <c r="M32" s="281"/>
      <c r="N32" s="281"/>
    </row>
    <row r="33" spans="1:15" ht="15" customHeight="1" x14ac:dyDescent="0.2"/>
    <row r="34" spans="1:15" ht="15" customHeight="1" x14ac:dyDescent="0.2"/>
    <row r="35" spans="1:15" ht="15" customHeight="1" x14ac:dyDescent="0.2"/>
    <row r="36" spans="1:15" ht="15" customHeight="1" x14ac:dyDescent="0.2"/>
    <row r="37" spans="1:15" ht="15" customHeight="1" x14ac:dyDescent="0.2"/>
    <row r="38" spans="1:15" ht="15" customHeight="1" x14ac:dyDescent="0.2"/>
    <row r="39" spans="1:15" ht="15" customHeight="1" x14ac:dyDescent="0.2"/>
    <row r="40" spans="1:15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1:15" s="60" customFormat="1" ht="15" customHeight="1" x14ac:dyDescent="0.2">
      <c r="A41" s="266"/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</row>
    <row r="42" spans="1:15" s="60" customFormat="1" ht="15" hidden="1" customHeight="1" x14ac:dyDescent="0.2">
      <c r="A42" s="266"/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s="60" customFormat="1" ht="15" hidden="1" customHeight="1" x14ac:dyDescent="0.2">
      <c r="A43" s="266"/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</row>
    <row r="44" spans="1:15" s="60" customFormat="1" ht="15" hidden="1" customHeight="1" x14ac:dyDescent="0.2">
      <c r="A44" s="266"/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s="60" customFormat="1" ht="15" hidden="1" customHeight="1" x14ac:dyDescent="0.2">
      <c r="A45" s="266"/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</row>
    <row r="46" spans="1:15" s="60" customFormat="1" ht="15" hidden="1" customHeight="1" x14ac:dyDescent="0.2">
      <c r="A46" s="266"/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hidden="1" customHeight="1" x14ac:dyDescent="0.2"/>
    <row r="48" spans="1:15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</sheetData>
  <sheetProtection algorithmName="SHA-512" hashValue="rvSxTJ+VuBEYUK5K4Q7lJY/KNo9wq+L6l7yskBN7j7svdD9tow7yfbGvFF3R1KN3n/eaz8jjavMBqbs8YbKMkw==" saltValue="D3tBVKHAQttF4pLtQtQSXQ==" spinCount="100000" sheet="1" objects="1" scenarios="1" selectLockedCells="1"/>
  <mergeCells count="3">
    <mergeCell ref="E40:F40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7">
    <pageSetUpPr fitToPage="1"/>
  </sheetPr>
  <dimension ref="A1:Z40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2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ht="24.95" customHeight="1" x14ac:dyDescent="0.2">
      <c r="C6" s="699" t="s">
        <v>2087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6" ht="15" customHeight="1" x14ac:dyDescent="0.2"/>
    <row r="8" spans="1:2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26" ht="15" customHeight="1" x14ac:dyDescent="0.2"/>
    <row r="10" spans="1:26" ht="15" customHeight="1" x14ac:dyDescent="0.25">
      <c r="D10" s="164" t="s">
        <v>1951</v>
      </c>
      <c r="E10" s="34"/>
    </row>
    <row r="11" spans="1:26" ht="15" customHeight="1" x14ac:dyDescent="0.2">
      <c r="D11" s="49" t="s">
        <v>1703</v>
      </c>
      <c r="G11" s="237">
        <v>5</v>
      </c>
      <c r="H11" s="49" t="s">
        <v>1953</v>
      </c>
    </row>
    <row r="12" spans="1:26" ht="15" customHeight="1" x14ac:dyDescent="0.2">
      <c r="G12" s="237">
        <v>80</v>
      </c>
      <c r="H12" s="49" t="s">
        <v>1933</v>
      </c>
    </row>
    <row r="13" spans="1:26" ht="15" customHeight="1" x14ac:dyDescent="0.2">
      <c r="G13" s="271"/>
    </row>
    <row r="14" spans="1:26" ht="15" customHeight="1" x14ac:dyDescent="0.2">
      <c r="F14" s="316" t="s">
        <v>2244</v>
      </c>
      <c r="G14" s="224">
        <f>W14*5</f>
        <v>750</v>
      </c>
      <c r="H14" s="292" t="s">
        <v>2235</v>
      </c>
      <c r="W14" s="325" t="str">
        <f>IF(G11&lt;10,"150",IF(AND(G11&gt;=10,G11&lt;20),"100",IF(AND(G11&gt;=20,G11&lt;50),"50",0)))</f>
        <v>150</v>
      </c>
      <c r="X14" s="26" t="s">
        <v>649</v>
      </c>
      <c r="Y14" s="26"/>
      <c r="Z14" s="26"/>
    </row>
    <row r="15" spans="1:26" ht="15" customHeight="1" x14ac:dyDescent="0.2">
      <c r="D15" s="275"/>
      <c r="F15" s="226" t="s">
        <v>1139</v>
      </c>
      <c r="G15" s="276">
        <f>(W15*5)/3</f>
        <v>200</v>
      </c>
      <c r="H15" s="292" t="str">
        <f>"g/planta de "&amp;Y15&amp;"."</f>
        <v>g/planta de 20-00-20.</v>
      </c>
      <c r="W15" s="171">
        <v>120</v>
      </c>
      <c r="X15" s="26" t="s">
        <v>650</v>
      </c>
      <c r="Y15" s="273" t="str">
        <f>IF(G12&lt;60,"20-00-30",IF(AND(G12&gt;=60,G12&lt;120),"20-00-20",IF(AND(G12&gt;=120,G12&lt;200),"20-00-15",IF(AND(G12&gt;=200,G12&lt;280),"20-00-10","Sulfato de Amônio"))))</f>
        <v>20-00-20</v>
      </c>
      <c r="Z15" s="26"/>
    </row>
    <row r="16" spans="1:26" ht="15" customHeight="1" x14ac:dyDescent="0.2">
      <c r="D16" s="275"/>
      <c r="E16" s="224"/>
      <c r="F16" s="280"/>
      <c r="W16" s="26"/>
      <c r="X16" s="26"/>
      <c r="Y16" s="26"/>
      <c r="Z16" s="26"/>
    </row>
    <row r="17" spans="4:26" ht="15" customHeight="1" x14ac:dyDescent="0.25">
      <c r="D17" s="164" t="s">
        <v>1952</v>
      </c>
      <c r="E17" s="34"/>
      <c r="H17" s="263"/>
      <c r="I17" s="263"/>
      <c r="J17" s="27"/>
      <c r="K17" s="27"/>
      <c r="W17" s="26"/>
      <c r="X17" s="26"/>
      <c r="Y17" s="26"/>
      <c r="Z17" s="26"/>
    </row>
    <row r="18" spans="4:26" ht="15" customHeight="1" x14ac:dyDescent="0.2">
      <c r="D18" s="49" t="s">
        <v>1703</v>
      </c>
      <c r="G18" s="237">
        <v>5</v>
      </c>
      <c r="H18" s="49" t="s">
        <v>1953</v>
      </c>
      <c r="W18" s="26"/>
      <c r="X18" s="26"/>
      <c r="Y18" s="26"/>
      <c r="Z18" s="26"/>
    </row>
    <row r="19" spans="4:26" ht="15" customHeight="1" x14ac:dyDescent="0.2">
      <c r="G19" s="237">
        <v>150</v>
      </c>
      <c r="H19" s="49" t="s">
        <v>1933</v>
      </c>
      <c r="W19" s="26"/>
      <c r="X19" s="26"/>
      <c r="Y19" s="26"/>
      <c r="Z19" s="26"/>
    </row>
    <row r="20" spans="4:26" ht="15" customHeight="1" x14ac:dyDescent="0.2">
      <c r="W20" s="26"/>
      <c r="X20" s="26"/>
      <c r="Y20" s="26"/>
      <c r="Z20" s="26"/>
    </row>
    <row r="21" spans="4:26" ht="15" customHeight="1" x14ac:dyDescent="0.2">
      <c r="F21" s="316" t="s">
        <v>2244</v>
      </c>
      <c r="G21" s="224">
        <f>W21*5</f>
        <v>1000</v>
      </c>
      <c r="H21" s="292" t="s">
        <v>2235</v>
      </c>
      <c r="W21" s="325" t="str">
        <f>IF(G18&lt;10,"200",IF(AND(G18&gt;=10,G18&lt;20),"100",IF(AND(G18&gt;=20,G18&lt;50),"50",0)))</f>
        <v>200</v>
      </c>
      <c r="X21" s="26" t="s">
        <v>649</v>
      </c>
      <c r="Y21" s="26"/>
      <c r="Z21" s="26"/>
    </row>
    <row r="22" spans="4:26" ht="15" customHeight="1" x14ac:dyDescent="0.2">
      <c r="D22" s="275"/>
      <c r="F22" s="226" t="s">
        <v>1139</v>
      </c>
      <c r="G22" s="276">
        <f>((W22*100)/20)/3</f>
        <v>266.66666666666669</v>
      </c>
      <c r="H22" s="292" t="str">
        <f>"g/planta de "&amp;Y22&amp;"."</f>
        <v>g/planta de 20-00-15.</v>
      </c>
      <c r="W22" s="171">
        <v>160</v>
      </c>
      <c r="X22" s="26" t="s">
        <v>650</v>
      </c>
      <c r="Y22" s="273" t="str">
        <f>IF(G19&lt;60,"20-00-30",IF(AND(G19&gt;=60,G19&lt;120),"20-00-20",IF(AND(G19&gt;=120,G19&lt;200),"20-00-15",IF(AND(G19&gt;=200,G19&lt;280),"20-00-10","Sulfato de Amônio"))))</f>
        <v>20-00-15</v>
      </c>
      <c r="Z22" s="26"/>
    </row>
    <row r="23" spans="4:26" ht="15" customHeight="1" x14ac:dyDescent="0.2">
      <c r="I23" s="279"/>
      <c r="K23" s="27"/>
      <c r="L23" s="27"/>
      <c r="M23" s="27"/>
      <c r="N23" s="27"/>
    </row>
    <row r="24" spans="4:26" ht="15" customHeight="1" x14ac:dyDescent="0.25">
      <c r="D24" s="282" t="s">
        <v>1941</v>
      </c>
      <c r="E24" s="281"/>
      <c r="F24" s="281"/>
      <c r="G24" s="281"/>
      <c r="H24" s="283"/>
      <c r="I24" s="283"/>
      <c r="J24" s="283"/>
      <c r="K24" s="283"/>
      <c r="L24" s="283"/>
      <c r="M24" s="283"/>
      <c r="N24" s="27"/>
    </row>
    <row r="25" spans="4:26" ht="15" customHeight="1" x14ac:dyDescent="0.2">
      <c r="D25" s="49" t="s">
        <v>1703</v>
      </c>
      <c r="E25" s="281"/>
      <c r="F25" s="281"/>
      <c r="G25" s="237">
        <v>30</v>
      </c>
      <c r="H25" s="49" t="s">
        <v>1929</v>
      </c>
      <c r="I25" s="283"/>
      <c r="J25" s="283"/>
      <c r="K25" s="283"/>
      <c r="L25" s="220"/>
      <c r="M25" s="27"/>
      <c r="N25" s="27"/>
    </row>
    <row r="26" spans="4:26" ht="15" customHeight="1" x14ac:dyDescent="0.2">
      <c r="F26" s="283"/>
      <c r="G26" s="5">
        <v>7</v>
      </c>
      <c r="H26" s="49" t="s">
        <v>1934</v>
      </c>
      <c r="I26" s="283"/>
      <c r="J26" s="283"/>
      <c r="K26" s="263"/>
      <c r="L26" s="289"/>
      <c r="M26" s="27"/>
      <c r="N26" s="27"/>
    </row>
    <row r="27" spans="4:26" ht="15" customHeight="1" x14ac:dyDescent="0.2">
      <c r="F27" s="275"/>
      <c r="G27" s="281"/>
      <c r="H27" s="298"/>
      <c r="I27" s="272"/>
      <c r="J27" s="272"/>
      <c r="K27" s="272"/>
      <c r="L27" s="220"/>
      <c r="M27" s="283"/>
      <c r="N27" s="27"/>
    </row>
    <row r="28" spans="4:26" ht="15" customHeight="1" x14ac:dyDescent="0.2">
      <c r="D28" s="273" t="s">
        <v>340</v>
      </c>
      <c r="F28" s="283"/>
      <c r="G28" s="237">
        <v>80</v>
      </c>
      <c r="H28" s="49" t="s">
        <v>341</v>
      </c>
      <c r="I28" s="283"/>
      <c r="J28" s="283"/>
      <c r="K28" s="263"/>
      <c r="L28" s="283"/>
      <c r="M28" s="283"/>
      <c r="N28" s="27"/>
    </row>
    <row r="29" spans="4:26" ht="15" customHeight="1" x14ac:dyDescent="0.2">
      <c r="D29" s="281"/>
      <c r="E29" s="263"/>
      <c r="F29" s="283"/>
      <c r="G29" s="281"/>
      <c r="H29" s="281"/>
      <c r="I29" s="283"/>
      <c r="J29" s="283"/>
      <c r="K29" s="263"/>
      <c r="L29" s="283"/>
      <c r="M29" s="283"/>
      <c r="N29" s="27"/>
    </row>
    <row r="30" spans="4:26" ht="15" customHeight="1" x14ac:dyDescent="0.2">
      <c r="D30" s="273" t="s">
        <v>1708</v>
      </c>
      <c r="E30" s="281"/>
      <c r="F30" s="281"/>
      <c r="G30" s="286">
        <f>IF((G26*(60-G25)/G28)&gt;0,G26*(60-G25)/G28,0)</f>
        <v>2.625</v>
      </c>
      <c r="H30" s="273" t="s">
        <v>1878</v>
      </c>
      <c r="I30" s="281"/>
      <c r="J30" s="281"/>
      <c r="K30" s="281"/>
      <c r="L30" s="281"/>
      <c r="M30" s="281"/>
    </row>
    <row r="31" spans="4:26" ht="15" customHeight="1" x14ac:dyDescent="0.2">
      <c r="D31" s="275"/>
      <c r="E31" s="283"/>
      <c r="G31" s="280"/>
      <c r="H31" s="281"/>
      <c r="I31" s="281"/>
      <c r="J31" s="281"/>
      <c r="K31" s="281"/>
      <c r="L31" s="281"/>
      <c r="M31" s="281"/>
    </row>
    <row r="32" spans="4:26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ht="15" customHeight="1" x14ac:dyDescent="0.2"/>
    <row r="38" spans="4:7" ht="15" customHeight="1" x14ac:dyDescent="0.2"/>
    <row r="39" spans="4:7" ht="15" customHeight="1" x14ac:dyDescent="0.2">
      <c r="D39" s="226" t="s">
        <v>891</v>
      </c>
      <c r="E39" s="717">
        <f ca="1">TODAY()</f>
        <v>45064</v>
      </c>
      <c r="F39" s="714"/>
      <c r="G39" s="60" t="s">
        <v>373</v>
      </c>
    </row>
    <row r="40" spans="4:7" ht="15" customHeight="1" x14ac:dyDescent="0.2"/>
  </sheetData>
  <sheetProtection algorithmName="SHA-512" hashValue="be/nrsjQYypGYHXjMIrQ33thpO+++IPHpUK3D3sLPz3YWUh+j8Te1OgaRt6cefXkJlZuErrh1sVjKx79GWd83Q==" saltValue="0tmE64DzHh3DRtcpGOMzQw==" spinCount="100000" sheet="1" objects="1" scenarios="1" selectLockedCells="1"/>
  <mergeCells count="3">
    <mergeCell ref="E39:F39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8">
    <pageSetUpPr fitToPage="1"/>
  </sheetPr>
  <dimension ref="A1:AA5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s="60" customFormat="1" ht="15" customHeight="1" x14ac:dyDescent="0.2">
      <c r="D10" s="266" t="s">
        <v>671</v>
      </c>
      <c r="G10" s="237">
        <v>8</v>
      </c>
      <c r="H10" s="60" t="s">
        <v>2070</v>
      </c>
      <c r="I10" s="237">
        <v>6</v>
      </c>
      <c r="J10" s="60" t="s">
        <v>2069</v>
      </c>
      <c r="K10" s="310">
        <f>10000/(G10*I10)</f>
        <v>208.33333333333334</v>
      </c>
      <c r="L10" s="281" t="s">
        <v>353</v>
      </c>
    </row>
    <row r="11" spans="1:16" s="60" customFormat="1" ht="15" customHeight="1" x14ac:dyDescent="0.2">
      <c r="D11" s="266" t="s">
        <v>655</v>
      </c>
      <c r="E11" s="266"/>
      <c r="G11" s="237">
        <v>20</v>
      </c>
      <c r="H11" s="266" t="s">
        <v>349</v>
      </c>
      <c r="I11" s="310"/>
      <c r="J11" s="281"/>
    </row>
    <row r="12" spans="1:16" ht="15" customHeight="1" x14ac:dyDescent="0.2">
      <c r="H12" s="208"/>
      <c r="I12" s="304"/>
      <c r="J12" s="27"/>
      <c r="K12" s="27"/>
      <c r="L12" s="27"/>
    </row>
    <row r="13" spans="1:16" ht="15" customHeight="1" x14ac:dyDescent="0.2">
      <c r="D13" s="49" t="s">
        <v>1703</v>
      </c>
      <c r="G13" s="237">
        <v>10</v>
      </c>
      <c r="H13" s="49" t="s">
        <v>1953</v>
      </c>
    </row>
    <row r="14" spans="1:16" ht="15" customHeight="1" x14ac:dyDescent="0.2">
      <c r="G14" s="237">
        <v>150</v>
      </c>
      <c r="H14" s="49" t="s">
        <v>1933</v>
      </c>
    </row>
    <row r="15" spans="1:16" ht="15" customHeight="1" x14ac:dyDescent="0.2">
      <c r="E15" s="263"/>
      <c r="G15" s="237">
        <v>20</v>
      </c>
      <c r="H15" s="273" t="s">
        <v>1929</v>
      </c>
    </row>
    <row r="16" spans="1:16" ht="15" customHeight="1" x14ac:dyDescent="0.2">
      <c r="G16" s="5">
        <v>7</v>
      </c>
      <c r="H16" s="273" t="s">
        <v>1934</v>
      </c>
    </row>
    <row r="17" spans="3:27" ht="15" customHeight="1" x14ac:dyDescent="0.2">
      <c r="G17" s="208"/>
      <c r="H17" s="275"/>
    </row>
    <row r="18" spans="3:27" ht="15" customHeight="1" x14ac:dyDescent="0.2">
      <c r="D18" s="273" t="s">
        <v>340</v>
      </c>
      <c r="G18" s="237">
        <v>80</v>
      </c>
      <c r="H18" s="273" t="s">
        <v>341</v>
      </c>
    </row>
    <row r="19" spans="3:27" ht="15" customHeight="1" x14ac:dyDescent="0.2">
      <c r="G19" s="208"/>
    </row>
    <row r="20" spans="3:27" ht="15" customHeight="1" x14ac:dyDescent="0.25">
      <c r="D20" s="326" t="s">
        <v>350</v>
      </c>
      <c r="G20" s="208"/>
      <c r="L20" s="27"/>
      <c r="N20" s="27"/>
      <c r="O20" s="27"/>
      <c r="P20" s="27"/>
    </row>
    <row r="21" spans="3:27" ht="15" customHeight="1" x14ac:dyDescent="0.2">
      <c r="D21" s="222" t="s">
        <v>573</v>
      </c>
      <c r="F21" s="265"/>
      <c r="W21" s="26"/>
      <c r="X21" s="26"/>
      <c r="Y21" s="26"/>
      <c r="Z21" s="26"/>
      <c r="AA21" s="26"/>
    </row>
    <row r="22" spans="3:27" ht="15" customHeight="1" x14ac:dyDescent="0.2">
      <c r="D22" s="273" t="s">
        <v>1708</v>
      </c>
      <c r="F22" s="280"/>
      <c r="G22" s="286">
        <f>IF((G16*(60-G15)/G18)&gt;0,G16*(60-G15)/G18,0)</f>
        <v>3.5</v>
      </c>
      <c r="H22" s="273" t="s">
        <v>2258</v>
      </c>
      <c r="Y22" s="26"/>
      <c r="Z22" s="26"/>
      <c r="AA22" s="26"/>
    </row>
    <row r="23" spans="3:27" ht="15" customHeight="1" x14ac:dyDescent="0.2">
      <c r="F23" s="280"/>
      <c r="Z23" s="26"/>
      <c r="AA23" s="26"/>
    </row>
    <row r="24" spans="3:27" ht="15" customHeight="1" x14ac:dyDescent="0.2">
      <c r="D24" s="320" t="s">
        <v>2062</v>
      </c>
      <c r="H24" s="283"/>
      <c r="I24" s="279"/>
      <c r="W24" s="26"/>
      <c r="X24" s="26"/>
      <c r="Y24" s="26"/>
      <c r="Z24" s="26"/>
      <c r="AA24" s="26"/>
    </row>
    <row r="25" spans="3:27" ht="15" customHeight="1" x14ac:dyDescent="0.2">
      <c r="D25" s="283"/>
      <c r="E25" s="281"/>
      <c r="F25" s="225" t="s">
        <v>637</v>
      </c>
      <c r="G25" s="224">
        <f>((W25*5)/K10)*1000</f>
        <v>960</v>
      </c>
      <c r="H25" s="292" t="s">
        <v>2235</v>
      </c>
      <c r="I25" s="283"/>
      <c r="J25" s="283"/>
      <c r="K25" s="283"/>
      <c r="L25" s="283"/>
      <c r="N25" s="27"/>
      <c r="O25" s="27"/>
      <c r="P25" s="27"/>
      <c r="W25" s="325" t="str">
        <f>IF(G13&lt;10,"60",IF(AND(G13&gt;=10,G13&lt;20),"40",IF(AND(G13&gt;=20,G13&lt;50),"30",0)))</f>
        <v>40</v>
      </c>
      <c r="X25" s="26" t="s">
        <v>651</v>
      </c>
    </row>
    <row r="26" spans="3:27" ht="15" customHeight="1" x14ac:dyDescent="0.2">
      <c r="D26" s="314"/>
      <c r="E26" s="281"/>
      <c r="F26" s="226" t="s">
        <v>1139</v>
      </c>
      <c r="G26" s="276">
        <f>1000*((W26*5)/K10)/3</f>
        <v>320</v>
      </c>
      <c r="H26" s="292" t="str">
        <f>"g/planta de "&amp;Y26&amp;"."</f>
        <v>g/planta de 20-00-15.</v>
      </c>
      <c r="I26" s="283"/>
      <c r="J26" s="283"/>
      <c r="K26" s="283"/>
      <c r="L26" s="220"/>
      <c r="M26" s="27"/>
      <c r="N26" s="27"/>
      <c r="O26" s="27"/>
      <c r="P26" s="27"/>
      <c r="W26" s="171">
        <f>IF(G11&lt;15,20,IF(AND(G11&gt;=15,G11&lt;20),30,40))</f>
        <v>40</v>
      </c>
      <c r="X26" s="26" t="s">
        <v>652</v>
      </c>
      <c r="Y26" s="273" t="str">
        <f>IF(G14&lt;60,"20-00-30",IF(AND(G14&gt;=60,G14&lt;120),"20-00-20",IF(AND(G14&gt;=120,G14&lt;200),"20-00-15",IF(AND(G14&gt;=200,G14&lt;280),"20-00-10","Sulfato de Amônio"))))</f>
        <v>20-00-15</v>
      </c>
    </row>
    <row r="27" spans="3:27" ht="15" customHeight="1" x14ac:dyDescent="0.2">
      <c r="D27" s="281"/>
      <c r="F27" s="283"/>
      <c r="G27" s="281"/>
      <c r="H27" s="283"/>
      <c r="I27" s="283"/>
      <c r="J27" s="283"/>
      <c r="K27" s="263"/>
      <c r="L27" s="289"/>
      <c r="M27" s="27"/>
      <c r="N27" s="27"/>
      <c r="O27" s="27"/>
      <c r="P27" s="27"/>
    </row>
    <row r="28" spans="3:27" ht="15" customHeight="1" x14ac:dyDescent="0.2">
      <c r="D28" s="281"/>
      <c r="F28" s="275"/>
      <c r="G28" s="281"/>
      <c r="H28" s="272"/>
      <c r="I28" s="272"/>
      <c r="J28" s="272"/>
      <c r="K28" s="272"/>
      <c r="L28" s="220"/>
      <c r="M28" s="283"/>
      <c r="N28" s="27"/>
      <c r="O28" s="27"/>
      <c r="P28" s="27"/>
    </row>
    <row r="29" spans="3:27" ht="15" customHeight="1" x14ac:dyDescent="0.2">
      <c r="C29" s="27"/>
    </row>
    <row r="30" spans="3:27" ht="15" customHeight="1" x14ac:dyDescent="0.2">
      <c r="C30" s="27"/>
    </row>
    <row r="31" spans="3:27" ht="15" customHeight="1" x14ac:dyDescent="0.2"/>
    <row r="32" spans="3:27" ht="15" customHeight="1" x14ac:dyDescent="0.2"/>
    <row r="33" spans="4:7" ht="15" customHeight="1" x14ac:dyDescent="0.2"/>
    <row r="34" spans="4:7" ht="15" customHeight="1" x14ac:dyDescent="0.2"/>
    <row r="35" spans="4:7" ht="15" customHeight="1" x14ac:dyDescent="0.2">
      <c r="D35" s="226" t="s">
        <v>891</v>
      </c>
      <c r="E35" s="717">
        <f ca="1">TODAY()</f>
        <v>45064</v>
      </c>
      <c r="F35" s="714"/>
      <c r="G35" s="60" t="s">
        <v>373</v>
      </c>
    </row>
    <row r="36" spans="4:7" ht="15" customHeight="1" x14ac:dyDescent="0.2"/>
    <row r="37" spans="4:7" ht="15" hidden="1" customHeight="1" x14ac:dyDescent="0.2"/>
    <row r="38" spans="4:7" ht="15" hidden="1" customHeight="1" x14ac:dyDescent="0.2"/>
    <row r="39" spans="4:7" ht="15" hidden="1" customHeight="1" x14ac:dyDescent="0.2"/>
    <row r="40" spans="4:7" ht="15" hidden="1" customHeight="1" x14ac:dyDescent="0.2"/>
    <row r="41" spans="4:7" ht="15" hidden="1" customHeight="1" x14ac:dyDescent="0.2"/>
    <row r="42" spans="4:7" ht="15" hidden="1" customHeight="1" x14ac:dyDescent="0.2"/>
    <row r="43" spans="4:7" ht="15" hidden="1" customHeight="1" x14ac:dyDescent="0.2"/>
    <row r="44" spans="4:7" s="60" customFormat="1" ht="15" hidden="1" customHeight="1" x14ac:dyDescent="0.2"/>
    <row r="45" spans="4:7" s="60" customFormat="1" ht="15" hidden="1" customHeight="1" x14ac:dyDescent="0.2"/>
    <row r="46" spans="4:7" s="60" customFormat="1" ht="15" hidden="1" customHeight="1" x14ac:dyDescent="0.2"/>
    <row r="47" spans="4:7" s="60" customFormat="1" ht="15" hidden="1" customHeight="1" x14ac:dyDescent="0.2"/>
    <row r="48" spans="4:7" s="60" customFormat="1" ht="15" hidden="1" customHeight="1" x14ac:dyDescent="0.2"/>
    <row r="49" s="60" customFormat="1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</sheetData>
  <sheetProtection algorithmName="SHA-512" hashValue="U8jqLHSSS3ANkeKtG6wgaiExfdeIoUMahNC10ynyvolFuAJBjsOWBbzmerTVv8dHogakJYutqrkmftid8tCLbg==" saltValue="T/cJyoeLzaElr5JAbFbjyw==" spinCount="100000" sheet="1" objects="1" scenarios="1" selectLockedCells="1"/>
  <mergeCells count="3">
    <mergeCell ref="E35:F35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9">
    <pageSetUpPr fitToPage="1"/>
  </sheetPr>
  <dimension ref="A1:Y6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2089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ht="15" customHeight="1" x14ac:dyDescent="0.2"/>
    <row r="11" spans="1:16" ht="15" customHeight="1" x14ac:dyDescent="0.2">
      <c r="D11" s="49" t="s">
        <v>1208</v>
      </c>
      <c r="G11" s="237">
        <v>2</v>
      </c>
      <c r="H11" s="298" t="s">
        <v>2070</v>
      </c>
      <c r="I11" s="5">
        <v>1</v>
      </c>
      <c r="J11" s="298" t="s">
        <v>2069</v>
      </c>
      <c r="K11" s="218">
        <f>10000/(G11*I11)</f>
        <v>5000</v>
      </c>
      <c r="L11" s="266" t="s">
        <v>353</v>
      </c>
    </row>
    <row r="12" spans="1:16" ht="15" customHeight="1" x14ac:dyDescent="0.2">
      <c r="G12" s="265"/>
      <c r="H12" s="271"/>
      <c r="I12" s="271"/>
    </row>
    <row r="13" spans="1:16" ht="15" customHeight="1" x14ac:dyDescent="0.2">
      <c r="D13" s="49" t="s">
        <v>1703</v>
      </c>
      <c r="G13" s="237">
        <v>5</v>
      </c>
      <c r="H13" s="49" t="s">
        <v>1953</v>
      </c>
      <c r="I13" s="271"/>
    </row>
    <row r="14" spans="1:16" ht="15" customHeight="1" x14ac:dyDescent="0.2">
      <c r="G14" s="24">
        <v>80</v>
      </c>
      <c r="H14" s="49" t="s">
        <v>1933</v>
      </c>
      <c r="I14" s="271"/>
    </row>
    <row r="15" spans="1:16" ht="15" customHeight="1" x14ac:dyDescent="0.2">
      <c r="G15" s="237">
        <v>8</v>
      </c>
      <c r="H15" s="49" t="s">
        <v>1934</v>
      </c>
      <c r="I15" s="271"/>
    </row>
    <row r="16" spans="1:16" ht="15" customHeight="1" x14ac:dyDescent="0.2">
      <c r="G16" s="25">
        <v>30</v>
      </c>
      <c r="H16" s="49" t="s">
        <v>1929</v>
      </c>
      <c r="I16" s="271"/>
    </row>
    <row r="17" spans="4:25" ht="15" customHeight="1" x14ac:dyDescent="0.2">
      <c r="G17" s="265"/>
      <c r="H17" s="49"/>
      <c r="I17" s="271"/>
    </row>
    <row r="18" spans="4:25" ht="15" customHeight="1" x14ac:dyDescent="0.2">
      <c r="D18" s="266" t="s">
        <v>340</v>
      </c>
      <c r="G18" s="237">
        <v>70</v>
      </c>
      <c r="H18" s="49" t="s">
        <v>341</v>
      </c>
      <c r="I18" s="271"/>
    </row>
    <row r="19" spans="4:25" ht="15" customHeight="1" x14ac:dyDescent="0.2">
      <c r="F19" s="265"/>
    </row>
    <row r="20" spans="4:25" ht="15" customHeight="1" x14ac:dyDescent="0.25">
      <c r="D20" s="291" t="s">
        <v>350</v>
      </c>
      <c r="E20" s="291"/>
      <c r="F20" s="291"/>
      <c r="G20" s="291"/>
      <c r="H20" s="291"/>
    </row>
    <row r="21" spans="4:25" ht="15" customHeight="1" x14ac:dyDescent="0.25">
      <c r="D21" s="257" t="s">
        <v>573</v>
      </c>
      <c r="E21" s="309"/>
      <c r="F21" s="309"/>
      <c r="G21" s="309"/>
      <c r="H21" s="309"/>
      <c r="L21" s="27"/>
      <c r="M21" s="27"/>
      <c r="N21" s="27"/>
      <c r="O21" s="27"/>
      <c r="P21" s="27"/>
      <c r="Q21" s="27"/>
    </row>
    <row r="22" spans="4:25" s="213" customFormat="1" ht="15" customHeight="1" x14ac:dyDescent="0.2">
      <c r="D22" s="298" t="s">
        <v>1708</v>
      </c>
      <c r="E22" s="294"/>
      <c r="G22" s="220">
        <f>IF((G15*(50-G16)/G18)&gt;2,2,IF((G15*(50-G16)/G18)&gt;0,G15*(50-G16)/G18,0))</f>
        <v>2</v>
      </c>
      <c r="H22" s="300" t="s">
        <v>349</v>
      </c>
      <c r="L22" s="304"/>
      <c r="M22" s="304"/>
      <c r="N22" s="684"/>
      <c r="O22" s="267"/>
      <c r="P22" s="267"/>
      <c r="Q22" s="267"/>
    </row>
    <row r="23" spans="4:25" ht="15" customHeight="1" x14ac:dyDescent="0.2">
      <c r="F23" s="221"/>
      <c r="I23" s="266" t="s">
        <v>1018</v>
      </c>
      <c r="L23" s="27"/>
      <c r="M23" s="27"/>
      <c r="N23" s="296"/>
      <c r="O23" s="296"/>
      <c r="P23" s="296"/>
      <c r="Q23" s="296"/>
    </row>
    <row r="24" spans="4:25" ht="15" customHeight="1" x14ac:dyDescent="0.2">
      <c r="D24" s="169" t="s">
        <v>1696</v>
      </c>
      <c r="G24" s="224">
        <f>((V24*5)/K11)*1000</f>
        <v>80</v>
      </c>
      <c r="H24" s="213" t="s">
        <v>560</v>
      </c>
      <c r="I24" s="218"/>
      <c r="J24" s="306"/>
      <c r="K24" s="306"/>
      <c r="L24" s="306"/>
      <c r="V24" s="296">
        <f>IF(G13&lt;10,80,IF(AND(G13&gt;=10,G13&lt;20),40,20))</f>
        <v>80</v>
      </c>
      <c r="W24" s="296" t="s">
        <v>344</v>
      </c>
      <c r="X24" s="296"/>
      <c r="Y24" s="296"/>
    </row>
    <row r="25" spans="4:25" ht="15" customHeight="1" x14ac:dyDescent="0.2">
      <c r="G25" s="224">
        <f>((V25)/K11)*1000</f>
        <v>8</v>
      </c>
      <c r="H25" s="213" t="s">
        <v>354</v>
      </c>
      <c r="I25" s="218"/>
      <c r="J25" s="306"/>
      <c r="K25" s="27"/>
      <c r="L25" s="27"/>
      <c r="V25" s="296">
        <v>40</v>
      </c>
      <c r="W25" s="296" t="s">
        <v>346</v>
      </c>
      <c r="X25" s="296"/>
      <c r="Y25" s="296"/>
    </row>
    <row r="26" spans="4:25" ht="15" customHeight="1" x14ac:dyDescent="0.2">
      <c r="F26" s="289"/>
      <c r="G26" s="271"/>
      <c r="H26" s="318"/>
      <c r="I26" s="218"/>
      <c r="J26" s="27"/>
      <c r="K26" s="27"/>
      <c r="L26" s="27"/>
      <c r="V26" s="296"/>
      <c r="W26" s="296"/>
      <c r="X26" s="296"/>
      <c r="Y26" s="296"/>
    </row>
    <row r="27" spans="4:25" ht="15" customHeight="1" x14ac:dyDescent="0.2">
      <c r="D27" s="169" t="s">
        <v>342</v>
      </c>
      <c r="F27" s="27"/>
      <c r="H27" s="27"/>
      <c r="I27" s="333"/>
      <c r="J27" s="27"/>
      <c r="K27" s="27"/>
      <c r="L27" s="27"/>
      <c r="V27" s="296"/>
      <c r="W27" s="296"/>
      <c r="X27" s="296"/>
      <c r="Y27" s="296"/>
    </row>
    <row r="28" spans="4:25" ht="15" customHeight="1" x14ac:dyDescent="0.2">
      <c r="E28" s="275" t="str">
        <f>"2 (duas) aplicações de "&amp;X28&amp;" g/cova de "&amp;Y28&amp;" ."</f>
        <v>2 (duas) aplicações de 20 g/cova de 20 - 0 - 10 .</v>
      </c>
      <c r="F28" s="27"/>
      <c r="H28" s="27"/>
      <c r="I28" s="333"/>
      <c r="J28" s="27"/>
      <c r="K28" s="27"/>
      <c r="L28" s="27"/>
      <c r="V28" s="292">
        <v>40</v>
      </c>
      <c r="W28" s="292" t="s">
        <v>652</v>
      </c>
      <c r="X28" s="656">
        <f>(1000*(V28*5)/K11)/2</f>
        <v>20</v>
      </c>
      <c r="Y28" s="292" t="str">
        <f>IF(G14&lt;60,"20 - 0 - 20",IF(AND(G14&gt;=60,G14&lt;120),"20 - 0 - 10","Sultato de Amônio"))</f>
        <v>20 - 0 - 10</v>
      </c>
    </row>
    <row r="29" spans="4:25" ht="15" customHeight="1" x14ac:dyDescent="0.2">
      <c r="H29" s="273"/>
      <c r="O29" s="296"/>
      <c r="P29" s="296"/>
      <c r="Q29" s="296"/>
    </row>
    <row r="30" spans="4:25" ht="15" customHeight="1" x14ac:dyDescent="0.2">
      <c r="F30" s="27"/>
      <c r="H30" s="27"/>
      <c r="I30" s="333"/>
      <c r="J30" s="27"/>
      <c r="K30" s="27"/>
      <c r="L30" s="27"/>
      <c r="N30" s="296"/>
      <c r="O30" s="296"/>
      <c r="P30" s="296"/>
      <c r="Q30" s="296"/>
    </row>
    <row r="31" spans="4:25" ht="15" customHeight="1" x14ac:dyDescent="0.2">
      <c r="F31" s="27"/>
      <c r="H31" s="27"/>
      <c r="I31" s="333"/>
      <c r="J31" s="27"/>
      <c r="K31" s="27"/>
      <c r="L31" s="27"/>
      <c r="N31" s="296"/>
      <c r="O31" s="296"/>
      <c r="P31" s="296"/>
      <c r="Q31" s="296"/>
    </row>
    <row r="32" spans="4:25" ht="15" customHeight="1" x14ac:dyDescent="0.2">
      <c r="D32" s="169"/>
    </row>
    <row r="33" spans="2:7" ht="15" customHeight="1" x14ac:dyDescent="0.2"/>
    <row r="34" spans="2:7" ht="15" customHeight="1" x14ac:dyDescent="0.2"/>
    <row r="35" spans="2:7" ht="15" customHeight="1" x14ac:dyDescent="0.2"/>
    <row r="36" spans="2:7" ht="15" customHeight="1" x14ac:dyDescent="0.2"/>
    <row r="37" spans="2:7" ht="15" customHeight="1" x14ac:dyDescent="0.2">
      <c r="D37" s="226" t="s">
        <v>891</v>
      </c>
      <c r="E37" s="717">
        <f ca="1">TODAY()</f>
        <v>45064</v>
      </c>
      <c r="F37" s="714"/>
      <c r="G37" s="60" t="s">
        <v>373</v>
      </c>
    </row>
    <row r="38" spans="2:7" ht="15" customHeight="1" x14ac:dyDescent="0.2"/>
    <row r="39" spans="2:7" ht="15" hidden="1" customHeight="1" x14ac:dyDescent="0.2"/>
    <row r="40" spans="2:7" ht="15" hidden="1" customHeight="1" x14ac:dyDescent="0.2"/>
    <row r="41" spans="2:7" ht="15" hidden="1" customHeight="1" x14ac:dyDescent="0.2">
      <c r="B41" s="320"/>
      <c r="D41" s="267"/>
      <c r="E41" s="60"/>
      <c r="F41" s="60"/>
    </row>
    <row r="42" spans="2:7" ht="15" hidden="1" customHeight="1" x14ac:dyDescent="0.2">
      <c r="C42" s="267"/>
      <c r="D42" s="267"/>
      <c r="E42" s="60"/>
      <c r="F42" s="60"/>
    </row>
    <row r="43" spans="2:7" ht="15" hidden="1" customHeight="1" x14ac:dyDescent="0.2">
      <c r="C43" s="267"/>
      <c r="D43" s="267"/>
      <c r="E43" s="60"/>
      <c r="F43" s="60"/>
    </row>
    <row r="44" spans="2:7" ht="15" hidden="1" customHeight="1" x14ac:dyDescent="0.2">
      <c r="C44" s="267"/>
      <c r="D44" s="267"/>
      <c r="E44" s="60"/>
      <c r="F44" s="60"/>
    </row>
    <row r="45" spans="2:7" ht="15" hidden="1" customHeight="1" x14ac:dyDescent="0.2">
      <c r="C45" s="267"/>
      <c r="D45" s="267"/>
      <c r="E45" s="60"/>
      <c r="F45" s="60"/>
    </row>
    <row r="46" spans="2:7" ht="15" hidden="1" customHeight="1" x14ac:dyDescent="0.2">
      <c r="C46" s="267"/>
      <c r="D46" s="267"/>
      <c r="E46" s="60"/>
      <c r="F46" s="60"/>
    </row>
    <row r="47" spans="2:7" ht="15" hidden="1" customHeight="1" x14ac:dyDescent="0.2">
      <c r="C47" s="267"/>
      <c r="D47" s="267"/>
      <c r="E47" s="60"/>
      <c r="F47" s="60"/>
    </row>
    <row r="48" spans="2:7" ht="15" hidden="1" customHeight="1" x14ac:dyDescent="0.2">
      <c r="C48" s="267"/>
      <c r="D48" s="267"/>
      <c r="E48" s="60"/>
      <c r="F48" s="60"/>
    </row>
    <row r="49" spans="3:6" ht="15" hidden="1" customHeight="1" x14ac:dyDescent="0.2">
      <c r="C49" s="267"/>
      <c r="D49" s="267"/>
      <c r="E49" s="60"/>
      <c r="F49" s="60"/>
    </row>
    <row r="50" spans="3:6" ht="15" hidden="1" customHeight="1" x14ac:dyDescent="0.2">
      <c r="C50" s="267"/>
      <c r="D50" s="267"/>
      <c r="E50" s="60"/>
      <c r="F50" s="60"/>
    </row>
    <row r="51" spans="3:6" ht="15" hidden="1" customHeight="1" x14ac:dyDescent="0.2">
      <c r="C51" s="267"/>
      <c r="D51" s="267"/>
      <c r="E51" s="60"/>
      <c r="F51" s="60"/>
    </row>
    <row r="52" spans="3:6" ht="15" hidden="1" customHeight="1" x14ac:dyDescent="0.2"/>
    <row r="53" spans="3:6" ht="15" hidden="1" customHeight="1" x14ac:dyDescent="0.2"/>
    <row r="54" spans="3:6" ht="15" hidden="1" customHeight="1" x14ac:dyDescent="0.2"/>
    <row r="55" spans="3:6" ht="15" hidden="1" customHeight="1" x14ac:dyDescent="0.2"/>
    <row r="56" spans="3:6" ht="15" hidden="1" customHeight="1" x14ac:dyDescent="0.2"/>
    <row r="57" spans="3:6" ht="15" hidden="1" customHeight="1" x14ac:dyDescent="0.2"/>
    <row r="58" spans="3:6" ht="15" hidden="1" customHeight="1" x14ac:dyDescent="0.2"/>
    <row r="59" spans="3:6" ht="15" hidden="1" customHeight="1" x14ac:dyDescent="0.2"/>
    <row r="60" spans="3:6" ht="15" hidden="1" customHeight="1" x14ac:dyDescent="0.2"/>
    <row r="61" spans="3:6" ht="15" hidden="1" customHeight="1" x14ac:dyDescent="0.2"/>
    <row r="62" spans="3:6" ht="15" hidden="1" customHeight="1" x14ac:dyDescent="0.2"/>
    <row r="63" spans="3:6" ht="15" hidden="1" customHeight="1" x14ac:dyDescent="0.2"/>
  </sheetData>
  <sheetProtection algorithmName="SHA-512" hashValue="LVDPi5hojmC7EazqRo6Qe8QoWUGfv/QdhwpaCX7hZI15EieJeJocTCjw7NQcr/2aMV2tBdkhKrMFxpSZkLJCGg==" saltValue="/RyOufIt4w82TW2KZBY9hA==" spinCount="100000" sheet="1" objects="1" scenarios="1" selectLockedCells="1"/>
  <mergeCells count="3">
    <mergeCell ref="C6:N6"/>
    <mergeCell ref="E8:M8"/>
    <mergeCell ref="E37:F37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pageSetUpPr fitToPage="1"/>
  </sheetPr>
  <dimension ref="A1:P26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76" customFormat="1" ht="24.95" customHeight="1" x14ac:dyDescent="0.2">
      <c r="D6" s="688" t="s">
        <v>1770</v>
      </c>
      <c r="E6" s="688"/>
      <c r="F6" s="688"/>
      <c r="G6" s="688"/>
      <c r="H6" s="688"/>
      <c r="I6" s="688"/>
      <c r="J6" s="688"/>
      <c r="K6" s="688"/>
      <c r="L6" s="688"/>
    </row>
    <row r="7" spans="1:16" s="76" customFormat="1" ht="20.100000000000001" customHeight="1" x14ac:dyDescent="0.2">
      <c r="A7" s="86"/>
      <c r="B7" s="86"/>
      <c r="C7" s="118"/>
      <c r="D7" s="86"/>
      <c r="E7" s="86"/>
      <c r="F7" s="86"/>
      <c r="G7" s="86"/>
      <c r="H7" s="119"/>
      <c r="I7" s="119"/>
      <c r="J7" s="86"/>
      <c r="K7" s="86"/>
      <c r="L7" s="86"/>
      <c r="M7" s="86"/>
    </row>
    <row r="8" spans="1:16" s="76" customFormat="1" ht="20.100000000000001" customHeight="1" x14ac:dyDescent="0.2">
      <c r="A8" s="86"/>
      <c r="B8" s="86"/>
      <c r="C8" s="118"/>
      <c r="D8" s="82"/>
      <c r="E8" s="82"/>
      <c r="F8" s="82"/>
      <c r="G8" s="82"/>
      <c r="H8" s="82"/>
      <c r="I8" s="82"/>
      <c r="J8" s="120" t="s">
        <v>1769</v>
      </c>
      <c r="K8" s="82"/>
      <c r="L8" s="82"/>
      <c r="M8" s="86"/>
    </row>
    <row r="9" spans="1:16" s="76" customFormat="1" ht="20.100000000000001" customHeight="1" x14ac:dyDescent="0.2">
      <c r="A9" s="86"/>
      <c r="B9" s="86"/>
      <c r="C9" s="86"/>
      <c r="D9" s="121" t="s">
        <v>960</v>
      </c>
      <c r="E9" s="102"/>
      <c r="F9" s="102"/>
      <c r="G9" s="102"/>
      <c r="H9" s="122" t="s">
        <v>385</v>
      </c>
      <c r="I9" s="102"/>
      <c r="J9" s="122" t="s">
        <v>1138</v>
      </c>
      <c r="K9" s="102"/>
      <c r="L9" s="122" t="s">
        <v>1125</v>
      </c>
      <c r="M9" s="86"/>
    </row>
    <row r="10" spans="1:16" s="76" customFormat="1" ht="20.100000000000001" customHeight="1" x14ac:dyDescent="0.2">
      <c r="A10" s="86"/>
      <c r="B10" s="86"/>
      <c r="C10" s="123"/>
      <c r="D10" s="124" t="s">
        <v>215</v>
      </c>
      <c r="E10" s="124"/>
      <c r="F10" s="124"/>
      <c r="G10" s="124"/>
      <c r="H10" s="125">
        <v>1.5</v>
      </c>
      <c r="I10" s="124"/>
      <c r="J10" s="125">
        <v>0.8</v>
      </c>
      <c r="K10" s="124"/>
      <c r="L10" s="125">
        <v>1.2</v>
      </c>
      <c r="M10" s="86"/>
    </row>
    <row r="11" spans="1:16" s="76" customFormat="1" ht="20.100000000000001" customHeight="1" x14ac:dyDescent="0.2">
      <c r="A11" s="86"/>
      <c r="B11" s="86"/>
      <c r="C11" s="123"/>
      <c r="D11" s="124" t="s">
        <v>1299</v>
      </c>
      <c r="E11" s="124"/>
      <c r="F11" s="124"/>
      <c r="G11" s="124"/>
      <c r="H11" s="125">
        <v>1.3</v>
      </c>
      <c r="I11" s="124"/>
      <c r="J11" s="125">
        <v>0.4</v>
      </c>
      <c r="K11" s="124"/>
      <c r="L11" s="125">
        <v>0.9</v>
      </c>
      <c r="M11" s="86"/>
    </row>
    <row r="12" spans="1:16" s="76" customFormat="1" ht="20.100000000000001" customHeight="1" x14ac:dyDescent="0.2">
      <c r="A12" s="86"/>
      <c r="B12" s="86"/>
      <c r="C12" s="123"/>
      <c r="D12" s="124" t="s">
        <v>218</v>
      </c>
      <c r="E12" s="124"/>
      <c r="F12" s="124"/>
      <c r="G12" s="124"/>
      <c r="H12" s="125">
        <v>2.4</v>
      </c>
      <c r="I12" s="124"/>
      <c r="J12" s="125">
        <v>1.3</v>
      </c>
      <c r="K12" s="124"/>
      <c r="L12" s="125">
        <v>1.5</v>
      </c>
      <c r="M12" s="86"/>
    </row>
    <row r="13" spans="1:16" s="76" customFormat="1" ht="20.100000000000001" customHeight="1" x14ac:dyDescent="0.2">
      <c r="A13" s="86"/>
      <c r="B13" s="86"/>
      <c r="C13" s="123"/>
      <c r="D13" s="124" t="s">
        <v>219</v>
      </c>
      <c r="E13" s="124"/>
      <c r="F13" s="124"/>
      <c r="G13" s="124"/>
      <c r="H13" s="125">
        <v>1.6</v>
      </c>
      <c r="I13" s="124"/>
      <c r="J13" s="125">
        <v>1.1000000000000001</v>
      </c>
      <c r="K13" s="124"/>
      <c r="L13" s="125">
        <v>1.1000000000000001</v>
      </c>
      <c r="M13" s="86"/>
    </row>
    <row r="14" spans="1:16" s="76" customFormat="1" ht="20.100000000000001" customHeight="1" x14ac:dyDescent="0.2">
      <c r="A14" s="86"/>
      <c r="B14" s="86"/>
      <c r="C14" s="123"/>
      <c r="D14" s="124" t="s">
        <v>216</v>
      </c>
      <c r="E14" s="124"/>
      <c r="F14" s="124"/>
      <c r="G14" s="124"/>
      <c r="H14" s="125">
        <v>1.6</v>
      </c>
      <c r="I14" s="124"/>
      <c r="J14" s="125">
        <v>0.1</v>
      </c>
      <c r="K14" s="124"/>
      <c r="L14" s="125">
        <v>2.1</v>
      </c>
      <c r="M14" s="86"/>
    </row>
    <row r="15" spans="1:16" s="76" customFormat="1" ht="20.100000000000001" customHeight="1" x14ac:dyDescent="0.2">
      <c r="A15" s="86"/>
      <c r="B15" s="86"/>
      <c r="C15" s="123"/>
      <c r="D15" s="124" t="s">
        <v>1119</v>
      </c>
      <c r="E15" s="124"/>
      <c r="F15" s="124"/>
      <c r="G15" s="124"/>
      <c r="H15" s="125">
        <v>0.6</v>
      </c>
      <c r="I15" s="124"/>
      <c r="J15" s="125">
        <v>0.1</v>
      </c>
      <c r="K15" s="124"/>
      <c r="L15" s="125">
        <v>1.4</v>
      </c>
      <c r="M15" s="86"/>
    </row>
    <row r="16" spans="1:16" s="76" customFormat="1" ht="20.100000000000001" customHeight="1" x14ac:dyDescent="0.2">
      <c r="A16" s="86"/>
      <c r="B16" s="86"/>
      <c r="C16" s="123"/>
      <c r="D16" s="124" t="s">
        <v>221</v>
      </c>
      <c r="E16" s="124"/>
      <c r="F16" s="124"/>
      <c r="G16" s="124"/>
      <c r="H16" s="125">
        <v>1.6</v>
      </c>
      <c r="I16" s="124"/>
      <c r="J16" s="125">
        <v>0.3</v>
      </c>
      <c r="K16" s="124"/>
      <c r="L16" s="125">
        <v>1.9</v>
      </c>
      <c r="M16" s="86"/>
    </row>
    <row r="17" spans="1:13" s="76" customFormat="1" ht="20.100000000000001" customHeight="1" x14ac:dyDescent="0.2">
      <c r="A17" s="86"/>
      <c r="B17" s="86"/>
      <c r="C17" s="123"/>
      <c r="D17" s="124" t="s">
        <v>1120</v>
      </c>
      <c r="E17" s="124"/>
      <c r="F17" s="124"/>
      <c r="G17" s="124"/>
      <c r="H17" s="125">
        <v>1.1000000000000001</v>
      </c>
      <c r="I17" s="124"/>
      <c r="J17" s="125">
        <v>0.1</v>
      </c>
      <c r="K17" s="124"/>
      <c r="L17" s="125">
        <v>0.1</v>
      </c>
      <c r="M17" s="86"/>
    </row>
    <row r="18" spans="1:13" s="76" customFormat="1" ht="20.100000000000001" customHeight="1" x14ac:dyDescent="0.2">
      <c r="A18" s="86"/>
      <c r="B18" s="86"/>
      <c r="C18" s="123"/>
      <c r="D18" s="124" t="s">
        <v>220</v>
      </c>
      <c r="E18" s="124"/>
      <c r="F18" s="124"/>
      <c r="G18" s="124"/>
      <c r="H18" s="125">
        <v>0.7</v>
      </c>
      <c r="I18" s="124"/>
      <c r="J18" s="125">
        <v>0.2</v>
      </c>
      <c r="K18" s="124"/>
      <c r="L18" s="125">
        <v>0.6</v>
      </c>
      <c r="M18" s="86"/>
    </row>
    <row r="19" spans="1:13" s="76" customFormat="1" ht="20.100000000000001" customHeight="1" x14ac:dyDescent="0.2">
      <c r="A19" s="86"/>
      <c r="B19" s="86"/>
      <c r="C19" s="123"/>
      <c r="D19" s="124" t="s">
        <v>1118</v>
      </c>
      <c r="E19" s="124"/>
      <c r="F19" s="124"/>
      <c r="G19" s="124"/>
      <c r="H19" s="125">
        <v>1.4</v>
      </c>
      <c r="I19" s="124"/>
      <c r="J19" s="125">
        <v>0.4</v>
      </c>
      <c r="K19" s="124"/>
      <c r="L19" s="125">
        <v>1.5</v>
      </c>
      <c r="M19" s="86"/>
    </row>
    <row r="20" spans="1:13" s="76" customFormat="1" ht="20.100000000000001" customHeight="1" x14ac:dyDescent="0.2">
      <c r="A20" s="86"/>
      <c r="B20" s="86"/>
      <c r="C20" s="123"/>
      <c r="D20" s="124" t="s">
        <v>217</v>
      </c>
      <c r="E20" s="124"/>
      <c r="F20" s="124"/>
      <c r="G20" s="124"/>
      <c r="H20" s="125">
        <v>3.3</v>
      </c>
      <c r="I20" s="124"/>
      <c r="J20" s="125">
        <v>0.6</v>
      </c>
      <c r="K20" s="124"/>
      <c r="L20" s="125">
        <v>2.2000000000000002</v>
      </c>
      <c r="M20" s="86"/>
    </row>
    <row r="21" spans="1:13" s="76" customFormat="1" ht="20.100000000000001" customHeight="1" x14ac:dyDescent="0.2">
      <c r="A21" s="86"/>
      <c r="B21" s="86"/>
      <c r="C21" s="123"/>
      <c r="D21" s="124" t="s">
        <v>222</v>
      </c>
      <c r="E21" s="124"/>
      <c r="F21" s="124"/>
      <c r="G21" s="124"/>
      <c r="H21" s="125">
        <v>0.6</v>
      </c>
      <c r="I21" s="124"/>
      <c r="J21" s="125">
        <v>0.2</v>
      </c>
      <c r="K21" s="124"/>
      <c r="L21" s="125">
        <v>0.3</v>
      </c>
      <c r="M21" s="86"/>
    </row>
    <row r="22" spans="1:13" s="76" customFormat="1" ht="20.100000000000001" customHeight="1" x14ac:dyDescent="0.2">
      <c r="A22" s="86"/>
      <c r="B22" s="86"/>
      <c r="C22" s="123"/>
      <c r="D22" s="102" t="s">
        <v>223</v>
      </c>
      <c r="E22" s="102"/>
      <c r="F22" s="102"/>
      <c r="G22" s="102"/>
      <c r="H22" s="126">
        <v>1.6</v>
      </c>
      <c r="I22" s="102"/>
      <c r="J22" s="126">
        <v>0.8</v>
      </c>
      <c r="K22" s="102"/>
      <c r="L22" s="126">
        <v>0.2</v>
      </c>
      <c r="M22" s="86"/>
    </row>
    <row r="23" spans="1:13" ht="15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15" customHeigh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ht="15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ht="15" customHeight="1" x14ac:dyDescent="0.2"/>
  </sheetData>
  <sheetProtection algorithmName="SHA-512" hashValue="8JGWCz9VXPAL96OwNPeR/mNzNBrjj+y8r8Hpee31UYKvfVHnIclUtut5DM4q0jRtH24tbi84pUKzpBBBy5g4Zw==" saltValue="VBSVxU/VTptbbz15kiIsAQ==" spinCount="100000" sheet="1" objects="1" scenarios="1"/>
  <mergeCells count="1">
    <mergeCell ref="D6:L6"/>
  </mergeCells>
  <phoneticPr fontId="49" type="noConversion"/>
  <pageMargins left="0.78740157480314965" right="0.78740157480314965" top="0.78740157480314965" bottom="0.78740157480314965" header="0.51181102362204722" footer="0.51181102362204722"/>
  <pageSetup paperSize="9" scale="78" orientation="portrait" horizontalDpi="4294967295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0">
    <pageSetUpPr fitToPage="1"/>
  </sheetPr>
  <dimension ref="A1:W61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2090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ht="15" customHeight="1" x14ac:dyDescent="0.25">
      <c r="D10" s="309"/>
      <c r="E10" s="309"/>
      <c r="F10" s="309"/>
      <c r="G10" s="309"/>
      <c r="H10" s="309"/>
      <c r="I10" s="309"/>
      <c r="J10" s="309"/>
      <c r="K10" s="309"/>
    </row>
    <row r="11" spans="1:16" ht="15" customHeight="1" x14ac:dyDescent="0.2">
      <c r="D11" s="266" t="s">
        <v>1208</v>
      </c>
      <c r="G11" s="237">
        <v>0.9</v>
      </c>
      <c r="H11" s="298" t="s">
        <v>2186</v>
      </c>
      <c r="I11" s="5">
        <v>0.3</v>
      </c>
      <c r="J11" s="49" t="s">
        <v>2100</v>
      </c>
      <c r="K11" s="299">
        <f>10000/(G11*I11)</f>
        <v>37037.037037037036</v>
      </c>
      <c r="L11" s="266" t="s">
        <v>353</v>
      </c>
      <c r="O11" s="211"/>
    </row>
    <row r="12" spans="1:16" ht="15" customHeight="1" x14ac:dyDescent="0.2">
      <c r="G12" s="265"/>
      <c r="H12" s="271"/>
      <c r="I12" s="271"/>
      <c r="K12" s="299">
        <f>10000/G11</f>
        <v>11111.111111111111</v>
      </c>
      <c r="L12" s="266" t="s">
        <v>1141</v>
      </c>
      <c r="M12" s="27"/>
    </row>
    <row r="13" spans="1:16" ht="15" customHeight="1" x14ac:dyDescent="0.2">
      <c r="D13" s="49" t="s">
        <v>1703</v>
      </c>
      <c r="G13" s="237">
        <v>6</v>
      </c>
      <c r="H13" s="49" t="s">
        <v>1953</v>
      </c>
      <c r="I13" s="271"/>
      <c r="M13" s="27"/>
    </row>
    <row r="14" spans="1:16" ht="15" customHeight="1" x14ac:dyDescent="0.2">
      <c r="G14" s="237">
        <v>150</v>
      </c>
      <c r="H14" s="49" t="s">
        <v>1933</v>
      </c>
      <c r="I14" s="271"/>
      <c r="M14" s="27"/>
    </row>
    <row r="15" spans="1:16" ht="15" customHeight="1" x14ac:dyDescent="0.2">
      <c r="G15" s="10">
        <v>8</v>
      </c>
      <c r="H15" s="49" t="s">
        <v>1934</v>
      </c>
      <c r="I15" s="271"/>
      <c r="M15" s="27"/>
    </row>
    <row r="16" spans="1:16" ht="15" customHeight="1" x14ac:dyDescent="0.2">
      <c r="G16" s="237">
        <v>20</v>
      </c>
      <c r="H16" s="49" t="s">
        <v>1929</v>
      </c>
      <c r="I16" s="271"/>
      <c r="M16" s="27"/>
    </row>
    <row r="17" spans="4:23" ht="15" customHeight="1" x14ac:dyDescent="0.2">
      <c r="G17" s="265"/>
      <c r="H17" s="49"/>
      <c r="I17" s="271"/>
      <c r="M17" s="27"/>
    </row>
    <row r="18" spans="4:23" ht="15" customHeight="1" x14ac:dyDescent="0.2">
      <c r="D18" s="266" t="s">
        <v>340</v>
      </c>
      <c r="G18" s="237">
        <v>90</v>
      </c>
      <c r="H18" s="49" t="s">
        <v>341</v>
      </c>
      <c r="I18" s="271"/>
      <c r="M18" s="27"/>
    </row>
    <row r="19" spans="4:23" ht="15" customHeight="1" x14ac:dyDescent="0.2">
      <c r="F19" s="265"/>
      <c r="M19" s="27"/>
    </row>
    <row r="20" spans="4:23" ht="15" customHeight="1" x14ac:dyDescent="0.25">
      <c r="D20" s="291" t="s">
        <v>350</v>
      </c>
      <c r="E20" s="291"/>
      <c r="F20" s="291"/>
      <c r="G20" s="291"/>
      <c r="H20" s="291"/>
      <c r="I20" s="27"/>
      <c r="M20" s="27"/>
    </row>
    <row r="21" spans="4:23" ht="15" customHeight="1" x14ac:dyDescent="0.25">
      <c r="D21" s="302" t="s">
        <v>573</v>
      </c>
      <c r="E21" s="309"/>
      <c r="F21" s="309"/>
      <c r="G21" s="309"/>
      <c r="M21" s="220"/>
    </row>
    <row r="22" spans="4:23" ht="15" customHeight="1" x14ac:dyDescent="0.2">
      <c r="D22" s="298" t="s">
        <v>1708</v>
      </c>
      <c r="E22" s="267"/>
      <c r="G22" s="286">
        <f>IF((G15*(50-G16)/G18)&gt;0,G15*(50-G16)/G18,0)</f>
        <v>2.6666666666666665</v>
      </c>
      <c r="H22" s="300" t="s">
        <v>349</v>
      </c>
      <c r="I22" s="303"/>
      <c r="J22" s="213"/>
      <c r="K22" s="213"/>
      <c r="L22" s="213"/>
      <c r="M22" s="304"/>
      <c r="N22" s="213"/>
    </row>
    <row r="23" spans="4:23" ht="15" customHeight="1" x14ac:dyDescent="0.2">
      <c r="G23" s="222"/>
      <c r="M23" s="27"/>
    </row>
    <row r="24" spans="4:23" ht="15" customHeight="1" x14ac:dyDescent="0.2">
      <c r="D24" s="169" t="s">
        <v>1702</v>
      </c>
      <c r="G24" s="257">
        <v>3</v>
      </c>
      <c r="H24" s="49" t="s">
        <v>2187</v>
      </c>
      <c r="M24" s="208"/>
      <c r="N24" s="27"/>
    </row>
    <row r="25" spans="4:23" s="213" customFormat="1" ht="15" customHeight="1" x14ac:dyDescent="0.2">
      <c r="D25" s="266"/>
      <c r="E25" s="266"/>
      <c r="G25" s="224" t="str">
        <f>IF(G13&lt;20,"80",IF(AND(G13&gt;=20,G13&lt;60),"50",IF(AND(G13&gt;=60,G13&lt;100),"30",IF(AND(G13&gt;=100,G13&lt;150),"20",0))))</f>
        <v>80</v>
      </c>
      <c r="H25" s="49" t="s">
        <v>2183</v>
      </c>
      <c r="I25" s="303"/>
      <c r="J25" s="218"/>
      <c r="K25" s="271"/>
      <c r="L25" s="266"/>
      <c r="M25" s="263"/>
      <c r="N25" s="27"/>
    </row>
    <row r="26" spans="4:23" ht="15" customHeight="1" x14ac:dyDescent="0.2">
      <c r="G26" s="224">
        <v>5</v>
      </c>
      <c r="H26" s="49" t="s">
        <v>2184</v>
      </c>
      <c r="I26" s="208"/>
      <c r="J26" s="218"/>
      <c r="K26" s="306"/>
      <c r="L26" s="263"/>
      <c r="M26" s="263"/>
    </row>
    <row r="27" spans="4:23" ht="15" customHeight="1" x14ac:dyDescent="0.2">
      <c r="G27" s="224"/>
      <c r="H27" s="49"/>
      <c r="I27" s="208"/>
      <c r="J27" s="218"/>
      <c r="K27" s="306"/>
      <c r="L27" s="263"/>
      <c r="M27" s="263"/>
    </row>
    <row r="28" spans="4:23" ht="15" customHeight="1" x14ac:dyDescent="0.2">
      <c r="D28" s="169" t="s">
        <v>342</v>
      </c>
      <c r="G28" s="224">
        <v>20</v>
      </c>
      <c r="H28" s="298" t="str">
        <f>"g/m de "&amp;W28&amp;" ."</f>
        <v>g/m de 20-00-15 .</v>
      </c>
      <c r="W28" s="26" t="str">
        <f>IF(G14&lt;80,"20-00-30",IF(AND(G14&gt;=80,G14&lt;150),"20-00-20",IF(AND(G14&gt;=150,G14&lt;200),"20-00-15",IF(AND(G14&gt;=200,G14&lt;280),"20-00-10","Sulfato de Amônio"))))</f>
        <v>20-00-15</v>
      </c>
    </row>
    <row r="29" spans="4:23" ht="15" customHeight="1" x14ac:dyDescent="0.2">
      <c r="D29" s="308" t="s">
        <v>247</v>
      </c>
      <c r="H29" s="281"/>
      <c r="I29" s="308"/>
      <c r="M29" s="27"/>
    </row>
    <row r="30" spans="4:23" ht="15" customHeight="1" x14ac:dyDescent="0.2"/>
    <row r="31" spans="4:23" ht="15" customHeight="1" x14ac:dyDescent="0.2">
      <c r="D31" s="169"/>
    </row>
    <row r="32" spans="4:23" ht="15" customHeight="1" x14ac:dyDescent="0.2">
      <c r="D32" s="169"/>
    </row>
    <row r="33" spans="4:14" ht="15" customHeight="1" x14ac:dyDescent="0.2"/>
    <row r="34" spans="4:14" ht="15" customHeight="1" x14ac:dyDescent="0.2"/>
    <row r="35" spans="4:14" ht="15" customHeight="1" x14ac:dyDescent="0.2">
      <c r="D35" s="169"/>
    </row>
    <row r="36" spans="4:14" ht="15" customHeight="1" x14ac:dyDescent="0.2">
      <c r="E36" s="169"/>
      <c r="F36" s="169"/>
      <c r="G36" s="169"/>
      <c r="H36" s="169"/>
      <c r="I36" s="169"/>
      <c r="J36" s="169"/>
      <c r="K36" s="169"/>
      <c r="L36" s="169"/>
      <c r="M36" s="169"/>
      <c r="N36" s="169"/>
    </row>
    <row r="37" spans="4:14" ht="15" customHeight="1" x14ac:dyDescent="0.2"/>
    <row r="38" spans="4:14" ht="15" customHeight="1" x14ac:dyDescent="0.2"/>
    <row r="39" spans="4:14" ht="15" customHeight="1" x14ac:dyDescent="0.2">
      <c r="D39" s="226" t="s">
        <v>891</v>
      </c>
      <c r="E39" s="871">
        <f ca="1">TODAY()</f>
        <v>45064</v>
      </c>
      <c r="F39" s="755"/>
      <c r="G39" s="60" t="s">
        <v>373</v>
      </c>
      <c r="H39" s="169"/>
      <c r="I39" s="169"/>
      <c r="J39" s="169"/>
      <c r="K39" s="169"/>
      <c r="L39" s="169"/>
      <c r="M39" s="169"/>
      <c r="N39" s="169"/>
    </row>
    <row r="40" spans="4:14" ht="15" customHeight="1" x14ac:dyDescent="0.2"/>
    <row r="41" spans="4:14" ht="15" hidden="1" customHeight="1" x14ac:dyDescent="0.2"/>
    <row r="42" spans="4:14" ht="15" hidden="1" customHeight="1" x14ac:dyDescent="0.2"/>
    <row r="43" spans="4:14" ht="15" hidden="1" customHeight="1" x14ac:dyDescent="0.2"/>
    <row r="44" spans="4:14" ht="15" hidden="1" customHeight="1" x14ac:dyDescent="0.2"/>
    <row r="45" spans="4:14" ht="15" hidden="1" customHeight="1" x14ac:dyDescent="0.2"/>
    <row r="46" spans="4:14" ht="15" hidden="1" customHeight="1" x14ac:dyDescent="0.2"/>
    <row r="47" spans="4:14" ht="15" hidden="1" customHeight="1" x14ac:dyDescent="0.2"/>
    <row r="48" spans="4:14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</sheetData>
  <sheetProtection algorithmName="SHA-512" hashValue="7jO1NSoXqXGVu7z72BiJtakxn4QidLB68NeEYgcn+jgyjDI2PQP5jGIcJSZuC/9xdVjDKJfpLQUQ3hKdUEkiRw==" saltValue="zUVc5u6vaQgiMYW+GcjaOg==" spinCount="100000" sheet="1" objects="1" scenarios="1" selectLockedCells="1"/>
  <mergeCells count="3">
    <mergeCell ref="C6:N6"/>
    <mergeCell ref="E8:M8"/>
    <mergeCell ref="E39:F3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1">
    <pageSetUpPr fitToPage="1"/>
  </sheetPr>
  <dimension ref="A1:P14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2091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31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HYPERLINK("#"&amp;"'Maracuja1'!h1","Formação - 1° ano")</f>
        <v>Formação - 1° ano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HYPERLINK("#"&amp;"'MaracujaProd'!h1","Produção")</f>
        <v>Produção</v>
      </c>
      <c r="G10" s="711"/>
      <c r="H10" s="711"/>
      <c r="I10" s="711"/>
      <c r="J10" s="711"/>
      <c r="K10" s="33"/>
    </row>
    <row r="11" spans="1:16" ht="24.95" customHeight="1" thickTop="1" x14ac:dyDescent="0.2"/>
    <row r="12" spans="1:16" s="34" customFormat="1" ht="24.95" customHeight="1" x14ac:dyDescent="0.2"/>
    <row r="13" spans="1:16" s="34" customFormat="1" ht="24.95" customHeight="1" x14ac:dyDescent="0.2">
      <c r="D13" s="266"/>
      <c r="E13" s="266"/>
      <c r="F13" s="266"/>
    </row>
    <row r="14" spans="1:16" s="34" customFormat="1" ht="24.95" customHeight="1" x14ac:dyDescent="0.2">
      <c r="D14" s="266"/>
      <c r="E14" s="266"/>
      <c r="F14" s="266"/>
    </row>
  </sheetData>
  <sheetProtection algorithmName="SHA-512" hashValue="AfszVdL6jr86RtUAIp8CA21tIEULsukaJ6OCJwM4uj+mlswqxrZ2grHoeJBideMsLFIrrr/umDLK3QTJLAf7LQ==" saltValue="mas0KR3dtPRONy0rnYjvKw==" spinCount="100000" sheet="1" objects="1" scenarios="1"/>
  <mergeCells count="4">
    <mergeCell ref="C6:N6"/>
    <mergeCell ref="F8:J8"/>
    <mergeCell ref="F9:J9"/>
    <mergeCell ref="F10:J1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2">
    <pageSetUpPr fitToPage="1"/>
  </sheetPr>
  <dimension ref="A1:Z76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24.95" customHeight="1" x14ac:dyDescent="0.2">
      <c r="C6" s="699" t="s">
        <v>2092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7" ht="15" customHeight="1" x14ac:dyDescent="0.2"/>
    <row r="8" spans="1:17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7" ht="15" customHeight="1" x14ac:dyDescent="0.2"/>
    <row r="10" spans="1:17" s="164" customFormat="1" ht="15" customHeight="1" x14ac:dyDescent="0.25">
      <c r="D10" s="49" t="s">
        <v>2265</v>
      </c>
      <c r="E10" s="309"/>
      <c r="F10" s="5">
        <v>40</v>
      </c>
      <c r="G10" s="49" t="s">
        <v>2266</v>
      </c>
      <c r="H10" s="5">
        <v>40</v>
      </c>
      <c r="I10" s="49" t="s">
        <v>2266</v>
      </c>
      <c r="J10" s="5">
        <v>40</v>
      </c>
      <c r="K10" s="49" t="s">
        <v>495</v>
      </c>
      <c r="M10" s="316" t="s">
        <v>2267</v>
      </c>
      <c r="N10" s="256">
        <f>(F10*H10*J10)/1000</f>
        <v>64</v>
      </c>
      <c r="P10" s="283"/>
      <c r="Q10" s="283"/>
    </row>
    <row r="11" spans="1:17" s="164" customFormat="1" ht="15" customHeight="1" x14ac:dyDescent="0.25">
      <c r="D11" s="309"/>
      <c r="E11" s="309"/>
      <c r="F11" s="309"/>
      <c r="G11" s="309"/>
      <c r="H11" s="309"/>
      <c r="P11" s="283"/>
      <c r="Q11" s="283"/>
    </row>
    <row r="12" spans="1:17" s="164" customFormat="1" ht="15" customHeight="1" x14ac:dyDescent="0.25">
      <c r="D12" s="170" t="s">
        <v>1703</v>
      </c>
      <c r="E12" s="309"/>
      <c r="F12" s="309"/>
      <c r="G12" s="309"/>
      <c r="H12" s="309"/>
      <c r="P12" s="283"/>
      <c r="Q12" s="283"/>
    </row>
    <row r="13" spans="1:17" s="164" customFormat="1" ht="15" customHeight="1" x14ac:dyDescent="0.25">
      <c r="D13" s="309"/>
      <c r="E13" s="309"/>
      <c r="F13" s="309"/>
      <c r="G13" s="5">
        <v>2</v>
      </c>
      <c r="H13" s="356" t="s">
        <v>1953</v>
      </c>
      <c r="P13" s="283"/>
      <c r="Q13" s="283"/>
    </row>
    <row r="14" spans="1:17" s="164" customFormat="1" ht="15" customHeight="1" x14ac:dyDescent="0.25">
      <c r="D14" s="309"/>
      <c r="E14" s="309"/>
      <c r="F14" s="309"/>
      <c r="G14" s="5">
        <v>80</v>
      </c>
      <c r="H14" s="356" t="s">
        <v>1933</v>
      </c>
      <c r="P14" s="283"/>
      <c r="Q14" s="283"/>
    </row>
    <row r="15" spans="1:17" s="164" customFormat="1" ht="15" customHeight="1" x14ac:dyDescent="0.25">
      <c r="D15" s="309"/>
      <c r="E15" s="309"/>
      <c r="F15" s="309"/>
      <c r="G15" s="5">
        <v>2</v>
      </c>
      <c r="H15" s="292" t="s">
        <v>1963</v>
      </c>
      <c r="P15" s="283"/>
      <c r="Q15" s="283"/>
    </row>
    <row r="16" spans="1:17" ht="15" customHeight="1" x14ac:dyDescent="0.2">
      <c r="E16" s="292"/>
      <c r="F16" s="296"/>
      <c r="G16" s="237">
        <v>10</v>
      </c>
      <c r="H16" s="356" t="s">
        <v>1929</v>
      </c>
    </row>
    <row r="17" spans="4:26" ht="15" customHeight="1" x14ac:dyDescent="0.2">
      <c r="D17" s="275"/>
      <c r="E17" s="292"/>
      <c r="F17" s="296"/>
      <c r="G17" s="5">
        <v>7</v>
      </c>
      <c r="H17" s="356" t="s">
        <v>1934</v>
      </c>
    </row>
    <row r="18" spans="4:26" ht="15" customHeight="1" x14ac:dyDescent="0.2">
      <c r="D18" s="275"/>
      <c r="E18" s="292"/>
      <c r="F18" s="296"/>
    </row>
    <row r="19" spans="4:26" ht="15" customHeight="1" x14ac:dyDescent="0.2">
      <c r="D19" s="266" t="s">
        <v>340</v>
      </c>
      <c r="E19" s="273"/>
      <c r="F19" s="283"/>
      <c r="G19" s="237">
        <v>90</v>
      </c>
      <c r="H19" s="49" t="s">
        <v>341</v>
      </c>
      <c r="N19" s="49"/>
    </row>
    <row r="20" spans="4:26" ht="15" customHeight="1" x14ac:dyDescent="0.2">
      <c r="D20" s="275"/>
      <c r="E20" s="273"/>
      <c r="F20" s="275"/>
      <c r="Y20" s="256"/>
      <c r="Z20" s="256"/>
    </row>
    <row r="21" spans="4:26" ht="15" customHeight="1" x14ac:dyDescent="0.25">
      <c r="D21" s="291" t="s">
        <v>350</v>
      </c>
      <c r="E21" s="273"/>
      <c r="F21" s="283"/>
      <c r="Y21" s="256"/>
      <c r="Z21" s="256"/>
    </row>
    <row r="22" spans="4:26" ht="15" customHeight="1" x14ac:dyDescent="0.2">
      <c r="D22" s="302" t="s">
        <v>2152</v>
      </c>
      <c r="E22" s="273"/>
      <c r="F22" s="283"/>
      <c r="W22" s="350"/>
      <c r="X22" s="256"/>
      <c r="Y22" s="256"/>
      <c r="Z22" s="256"/>
    </row>
    <row r="23" spans="4:26" ht="15" customHeight="1" x14ac:dyDescent="0.2">
      <c r="D23" s="298" t="s">
        <v>1708</v>
      </c>
      <c r="E23" s="273"/>
      <c r="F23" s="283"/>
      <c r="G23" s="286">
        <f>IF((((80-G16)*G17)/G19)&gt;0,((80-G16)*G17)/G19,0)</f>
        <v>5.4444444444444446</v>
      </c>
      <c r="H23" s="290" t="s">
        <v>2145</v>
      </c>
      <c r="W23" s="256">
        <f>IF(G15&lt;1,15,IF(AND(G15&gt;=1,G15&lt;3),10,IF(AND(G15&gt;=3,G15&lt;5),7,5)))</f>
        <v>10</v>
      </c>
      <c r="X23" s="256" t="s">
        <v>667</v>
      </c>
      <c r="Y23" s="256"/>
      <c r="Z23" s="256"/>
    </row>
    <row r="24" spans="4:26" ht="15" customHeight="1" x14ac:dyDescent="0.2">
      <c r="H24" s="290"/>
      <c r="W24" s="350">
        <f>((((80-G13)/0.2)*N10)/1000)*2.3*5</f>
        <v>287.03999999999996</v>
      </c>
      <c r="X24" s="256" t="s">
        <v>664</v>
      </c>
      <c r="Y24" s="256"/>
      <c r="Z24" s="256"/>
    </row>
    <row r="25" spans="4:26" ht="15" customHeight="1" x14ac:dyDescent="0.2">
      <c r="D25" s="169" t="s">
        <v>2268</v>
      </c>
      <c r="E25" s="34"/>
      <c r="F25" s="34"/>
      <c r="G25" s="257">
        <f>W23</f>
        <v>10</v>
      </c>
      <c r="H25" s="266" t="s">
        <v>663</v>
      </c>
      <c r="W25" s="350">
        <f>IF(((G23/2)*N10)&gt;0,(G23/2)*N10,0)</f>
        <v>174.22222222222223</v>
      </c>
      <c r="X25" s="298" t="s">
        <v>800</v>
      </c>
      <c r="Y25" s="256"/>
      <c r="Z25" s="256"/>
    </row>
    <row r="26" spans="4:26" ht="15" customHeight="1" x14ac:dyDescent="0.2">
      <c r="D26" s="265"/>
      <c r="E26" s="213"/>
      <c r="G26" s="276">
        <f>IF(W24&gt;0,W24,0)</f>
        <v>287.03999999999996</v>
      </c>
      <c r="H26" s="266" t="s">
        <v>659</v>
      </c>
      <c r="Y26" s="256"/>
      <c r="Z26" s="256"/>
    </row>
    <row r="27" spans="4:26" ht="15" customHeight="1" x14ac:dyDescent="0.2">
      <c r="D27" s="34"/>
      <c r="E27" s="34"/>
      <c r="F27" s="34"/>
      <c r="G27" s="276">
        <f>W25</f>
        <v>174.22222222222223</v>
      </c>
      <c r="H27" s="266" t="s">
        <v>660</v>
      </c>
      <c r="W27" s="256"/>
      <c r="X27" s="256"/>
      <c r="Y27" s="256"/>
      <c r="Z27" s="256"/>
    </row>
    <row r="28" spans="4:26" ht="15" customHeight="1" x14ac:dyDescent="0.2">
      <c r="D28" s="169"/>
      <c r="G28" s="257">
        <v>20</v>
      </c>
      <c r="H28" s="266" t="s">
        <v>661</v>
      </c>
      <c r="W28" s="256"/>
      <c r="X28" s="256"/>
      <c r="Y28" s="256"/>
      <c r="Z28" s="256"/>
    </row>
    <row r="29" spans="4:26" ht="15" customHeight="1" x14ac:dyDescent="0.2">
      <c r="W29" s="256"/>
      <c r="X29" s="256"/>
      <c r="Y29" s="256"/>
      <c r="Z29" s="256"/>
    </row>
    <row r="30" spans="4:26" ht="15" customHeight="1" x14ac:dyDescent="0.2">
      <c r="D30" s="169" t="s">
        <v>2154</v>
      </c>
      <c r="V30" s="60"/>
      <c r="W30" s="256"/>
      <c r="X30" s="256"/>
      <c r="Y30" s="256"/>
      <c r="Z30" s="256"/>
    </row>
    <row r="31" spans="4:26" ht="15" customHeight="1" x14ac:dyDescent="0.2">
      <c r="E31" s="49" t="str">
        <f>"1) 20 dias após plantio: 30 g/cova de "&amp;W31&amp;" ."</f>
        <v>1) 20 dias após plantio: 30 g/cova de 20-00-20 .</v>
      </c>
      <c r="V31" s="60"/>
      <c r="W31" s="256" t="str">
        <f>IF(G14&lt;60,"20-00-30",IF(AND(G14&gt;=60,G14&lt;120),"20-00-20",IF(AND(G14&gt;=120,G14&lt;200),"20-00-15",IF(AND(G14&gt;=200,G14&lt;280),"20-00-10","Sulfato de Amônio"))))</f>
        <v>20-00-20</v>
      </c>
      <c r="X31" s="256"/>
      <c r="Y31" s="256"/>
      <c r="Z31" s="256"/>
    </row>
    <row r="32" spans="4:26" ht="15" customHeight="1" x14ac:dyDescent="0.2">
      <c r="E32" s="266" t="str">
        <f>"2) 50 dias após plantio: 40 g/cova de "&amp;W31&amp;" ."</f>
        <v>2) 50 dias após plantio: 40 g/cova de 20-00-20 .</v>
      </c>
      <c r="V32" s="60"/>
      <c r="W32" s="256"/>
      <c r="X32" s="256"/>
      <c r="Y32" s="256"/>
      <c r="Z32" s="256"/>
    </row>
    <row r="33" spans="4:26" s="60" customFormat="1" ht="15" customHeight="1" x14ac:dyDescent="0.25">
      <c r="D33" s="164"/>
      <c r="E33" s="266" t="str">
        <f>"3) 80 dias após plantio: 60 g/cova de "&amp;W31&amp;" ."</f>
        <v>3) 80 dias após plantio: 60 g/cova de 20-00-20 .</v>
      </c>
      <c r="F33" s="34"/>
      <c r="G33" s="266"/>
      <c r="H33" s="266"/>
      <c r="I33" s="266"/>
      <c r="J33" s="266"/>
      <c r="K33" s="266"/>
      <c r="W33" s="256"/>
      <c r="X33" s="256"/>
      <c r="Y33" s="256"/>
      <c r="Z33" s="256"/>
    </row>
    <row r="34" spans="4:26" s="60" customFormat="1" ht="15" customHeight="1" x14ac:dyDescent="0.2">
      <c r="D34" s="266"/>
      <c r="E34" s="266"/>
      <c r="F34" s="266"/>
      <c r="G34" s="266"/>
      <c r="H34" s="266"/>
      <c r="I34" s="266"/>
      <c r="J34" s="266"/>
      <c r="K34" s="266"/>
      <c r="Z34" s="256"/>
    </row>
    <row r="35" spans="4:26" ht="15" customHeight="1" x14ac:dyDescent="0.2">
      <c r="D35" s="169" t="s">
        <v>2269</v>
      </c>
      <c r="E35" s="34"/>
    </row>
    <row r="36" spans="4:26" ht="15" customHeight="1" x14ac:dyDescent="0.2">
      <c r="E36" s="49" t="str">
        <f>"Primeira aplicação:   100  g/cova de "&amp;W31&amp;" (no início do período chuvoso)."</f>
        <v>Primeira aplicação:   100  g/cova de 20-00-20 (no início do período chuvoso).</v>
      </c>
    </row>
    <row r="37" spans="4:26" ht="15" customHeight="1" x14ac:dyDescent="0.2">
      <c r="E37" s="49" t="str">
        <f>"Segunda aplicação:  150  g/cova de "&amp;W31&amp;" (dois meses após a primeira)."</f>
        <v>Segunda aplicação:  150  g/cova de 20-00-20 (dois meses após a primeira).</v>
      </c>
      <c r="G37" s="257"/>
      <c r="H37" s="49"/>
    </row>
    <row r="38" spans="4:26" ht="15" customHeight="1" x14ac:dyDescent="0.2">
      <c r="E38" s="49" t="str">
        <f>"Terceira aplicação:   200  g/cova de "&amp;W31&amp;" (dois meses após a segunda)."</f>
        <v>Terceira aplicação:   200  g/cova de 20-00-20 (dois meses após a segunda).</v>
      </c>
      <c r="G38" s="257"/>
      <c r="H38" s="49"/>
    </row>
    <row r="39" spans="4:26" ht="15" customHeight="1" x14ac:dyDescent="0.2"/>
    <row r="40" spans="4:26" ht="15" customHeight="1" x14ac:dyDescent="0.2"/>
    <row r="41" spans="4:26" ht="15" customHeight="1" x14ac:dyDescent="0.2"/>
    <row r="42" spans="4:26" ht="15" customHeight="1" x14ac:dyDescent="0.2"/>
    <row r="43" spans="4:26" ht="15" customHeight="1" x14ac:dyDescent="0.2"/>
    <row r="44" spans="4:26" ht="15" customHeight="1" x14ac:dyDescent="0.2"/>
    <row r="45" spans="4:26" ht="15" customHeight="1" x14ac:dyDescent="0.2">
      <c r="H45" s="60"/>
      <c r="I45" s="60"/>
      <c r="J45" s="60"/>
    </row>
    <row r="46" spans="4:26" ht="15" customHeight="1" x14ac:dyDescent="0.2">
      <c r="D46" s="226" t="s">
        <v>891</v>
      </c>
      <c r="E46" s="871">
        <f ca="1">TODAY()</f>
        <v>45064</v>
      </c>
      <c r="F46" s="755"/>
      <c r="G46" s="60" t="s">
        <v>373</v>
      </c>
      <c r="H46" s="60"/>
      <c r="I46" s="60"/>
      <c r="J46" s="60"/>
    </row>
    <row r="47" spans="4:26" ht="15" customHeight="1" x14ac:dyDescent="0.2">
      <c r="G47" s="60"/>
      <c r="H47" s="60"/>
      <c r="I47" s="60"/>
      <c r="J47" s="60"/>
    </row>
    <row r="48" spans="4:26" ht="15" hidden="1" customHeight="1" x14ac:dyDescent="0.2">
      <c r="G48" s="60"/>
      <c r="H48" s="60"/>
      <c r="I48" s="60"/>
      <c r="J48" s="60"/>
      <c r="K48" s="60"/>
    </row>
    <row r="49" spans="7:11" s="60" customFormat="1" ht="15" hidden="1" customHeight="1" x14ac:dyDescent="0.2"/>
    <row r="50" spans="7:11" s="60" customFormat="1" ht="15" hidden="1" customHeight="1" x14ac:dyDescent="0.2"/>
    <row r="51" spans="7:11" s="60" customFormat="1" ht="15" hidden="1" customHeight="1" x14ac:dyDescent="0.2"/>
    <row r="52" spans="7:11" s="60" customFormat="1" ht="15" hidden="1" customHeight="1" x14ac:dyDescent="0.2">
      <c r="H52" s="266"/>
      <c r="I52" s="266"/>
      <c r="J52" s="266"/>
    </row>
    <row r="53" spans="7:11" s="60" customFormat="1" ht="15" hidden="1" customHeight="1" x14ac:dyDescent="0.2">
      <c r="G53" s="266"/>
      <c r="H53" s="266"/>
      <c r="I53" s="266"/>
      <c r="J53" s="266"/>
    </row>
    <row r="54" spans="7:11" s="60" customFormat="1" ht="15" hidden="1" customHeight="1" x14ac:dyDescent="0.2">
      <c r="G54" s="266"/>
      <c r="H54" s="266"/>
      <c r="I54" s="266"/>
      <c r="J54" s="266"/>
    </row>
    <row r="55" spans="7:11" s="60" customFormat="1" ht="15" hidden="1" customHeight="1" x14ac:dyDescent="0.2">
      <c r="G55" s="266"/>
      <c r="H55" s="266"/>
      <c r="I55" s="266"/>
      <c r="J55" s="266"/>
      <c r="K55" s="266"/>
    </row>
    <row r="56" spans="7:11" ht="15" hidden="1" customHeight="1" x14ac:dyDescent="0.2"/>
    <row r="57" spans="7:11" ht="15" hidden="1" customHeight="1" x14ac:dyDescent="0.2"/>
    <row r="58" spans="7:11" ht="15" hidden="1" customHeight="1" x14ac:dyDescent="0.2"/>
    <row r="59" spans="7:11" ht="15" hidden="1" customHeight="1" x14ac:dyDescent="0.2"/>
    <row r="60" spans="7:11" ht="15" hidden="1" customHeight="1" x14ac:dyDescent="0.2"/>
    <row r="61" spans="7:11" ht="15" hidden="1" customHeight="1" x14ac:dyDescent="0.2"/>
    <row r="62" spans="7:11" ht="15" hidden="1" customHeight="1" x14ac:dyDescent="0.2"/>
    <row r="63" spans="7:11" ht="15" hidden="1" customHeight="1" x14ac:dyDescent="0.2"/>
    <row r="64" spans="7:11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</sheetData>
  <sheetProtection algorithmName="SHA-512" hashValue="Ffi4gSpjf9iqhTqWbvLcMIBChgM9O8OOs4tQtJRG+QiS02Gq9fNc0JFLlhS2omy+OuVkrDoGzuxJzhanJY62vA==" saltValue="iut4lfG2L/J2rE0+XnVqcA==" spinCount="100000" sheet="1" objects="1" scenarios="1" selectLockedCells="1"/>
  <mergeCells count="3">
    <mergeCell ref="E46:F46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3">
    <pageSetUpPr fitToPage="1"/>
  </sheetPr>
  <dimension ref="A1:Y76"/>
  <sheetViews>
    <sheetView showGridLines="0" showRowColHeaders="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2093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s="164" customFormat="1" ht="15" customHeight="1" x14ac:dyDescent="0.25">
      <c r="E9" s="309"/>
      <c r="F9" s="309"/>
      <c r="G9" s="309"/>
      <c r="H9" s="309"/>
      <c r="I9" s="309"/>
    </row>
    <row r="10" spans="1:16" s="164" customFormat="1" ht="15" customHeight="1" x14ac:dyDescent="0.25">
      <c r="E10" s="309"/>
      <c r="F10" s="309"/>
      <c r="G10" s="309"/>
      <c r="H10" s="309"/>
      <c r="I10" s="309"/>
    </row>
    <row r="11" spans="1:16" s="164" customFormat="1" ht="15" customHeight="1" x14ac:dyDescent="0.25">
      <c r="D11" s="266" t="s">
        <v>655</v>
      </c>
      <c r="E11" s="266"/>
      <c r="F11" s="266"/>
      <c r="G11" s="237">
        <v>30</v>
      </c>
      <c r="H11" s="266" t="s">
        <v>349</v>
      </c>
      <c r="I11" s="309"/>
    </row>
    <row r="12" spans="1:16" s="164" customFormat="1" ht="15" customHeight="1" x14ac:dyDescent="0.25">
      <c r="E12" s="309"/>
      <c r="F12" s="309"/>
      <c r="G12" s="309"/>
      <c r="H12" s="309"/>
      <c r="I12" s="309"/>
    </row>
    <row r="13" spans="1:16" ht="15" customHeight="1" x14ac:dyDescent="0.2">
      <c r="D13" s="49" t="s">
        <v>1703</v>
      </c>
      <c r="G13" s="237">
        <v>8</v>
      </c>
      <c r="H13" s="356" t="s">
        <v>1953</v>
      </c>
      <c r="I13" s="272"/>
    </row>
    <row r="14" spans="1:16" ht="15" customHeight="1" x14ac:dyDescent="0.2">
      <c r="G14" s="237">
        <v>120</v>
      </c>
      <c r="H14" s="356" t="s">
        <v>1933</v>
      </c>
    </row>
    <row r="15" spans="1:16" ht="15" customHeight="1" x14ac:dyDescent="0.2">
      <c r="G15" s="237">
        <v>30</v>
      </c>
      <c r="H15" s="356" t="s">
        <v>1929</v>
      </c>
    </row>
    <row r="16" spans="1:16" ht="15" customHeight="1" x14ac:dyDescent="0.2">
      <c r="G16" s="5">
        <v>7</v>
      </c>
      <c r="H16" s="356" t="s">
        <v>1934</v>
      </c>
    </row>
    <row r="17" spans="4:25" ht="15" customHeight="1" x14ac:dyDescent="0.2"/>
    <row r="18" spans="4:25" ht="15" customHeight="1" x14ac:dyDescent="0.2">
      <c r="D18" s="266" t="s">
        <v>340</v>
      </c>
      <c r="G18" s="237">
        <v>80</v>
      </c>
      <c r="H18" s="49" t="s">
        <v>341</v>
      </c>
    </row>
    <row r="19" spans="4:25" ht="15" customHeight="1" x14ac:dyDescent="0.2">
      <c r="G19" s="263"/>
    </row>
    <row r="20" spans="4:25" ht="15" customHeight="1" x14ac:dyDescent="0.25">
      <c r="D20" s="291" t="s">
        <v>350</v>
      </c>
      <c r="G20" s="263"/>
    </row>
    <row r="21" spans="4:25" ht="15" customHeight="1" x14ac:dyDescent="0.2">
      <c r="D21" s="257" t="s">
        <v>573</v>
      </c>
      <c r="G21" s="263"/>
    </row>
    <row r="22" spans="4:25" ht="15" customHeight="1" x14ac:dyDescent="0.2">
      <c r="D22" s="298" t="s">
        <v>1708</v>
      </c>
      <c r="G22" s="286">
        <f>IF((G16*(70-G15)/G18)&gt;0,G16*(70-G15)/G18,0)</f>
        <v>3.5</v>
      </c>
      <c r="H22" s="273" t="s">
        <v>2019</v>
      </c>
    </row>
    <row r="23" spans="4:25" ht="15" customHeight="1" x14ac:dyDescent="0.2">
      <c r="G23" s="263"/>
    </row>
    <row r="24" spans="4:25" ht="15" customHeight="1" x14ac:dyDescent="0.2">
      <c r="D24" s="169" t="s">
        <v>2062</v>
      </c>
      <c r="G24" s="263"/>
    </row>
    <row r="25" spans="4:25" ht="15" customHeight="1" x14ac:dyDescent="0.2">
      <c r="E25" s="49" t="s">
        <v>2270</v>
      </c>
      <c r="I25" s="237">
        <v>5</v>
      </c>
    </row>
    <row r="26" spans="4:25" ht="15" customHeight="1" x14ac:dyDescent="0.2">
      <c r="E26" s="49" t="s">
        <v>2271</v>
      </c>
      <c r="I26" s="237">
        <v>2</v>
      </c>
    </row>
    <row r="27" spans="4:25" ht="15" customHeight="1" x14ac:dyDescent="0.2">
      <c r="W27" s="208">
        <f>IF(G11&lt;20,100,IF(AND(G11&gt;=20,G11&lt;40),140,160))</f>
        <v>140</v>
      </c>
      <c r="X27" s="27" t="s">
        <v>385</v>
      </c>
    </row>
    <row r="28" spans="4:25" ht="15" customHeight="1" x14ac:dyDescent="0.2">
      <c r="D28" s="257"/>
      <c r="E28" s="317" t="str">
        <f>I25&amp;" Aplicações de"</f>
        <v>5 Aplicações de</v>
      </c>
      <c r="F28" s="276">
        <f>(W27*5)/I25</f>
        <v>140</v>
      </c>
      <c r="G28" s="273" t="str">
        <f>"g/planta de "&amp;Y28&amp;" ."</f>
        <v>g/planta de 20-00-15 .</v>
      </c>
      <c r="H28" s="49"/>
      <c r="W28" s="279">
        <f>IF(G13&lt;10,120,IF(AND(G13&gt;=10,G13&lt;20),80,IF(AND(G13&gt;=20,G13&lt;50),50,0)))</f>
        <v>120</v>
      </c>
      <c r="X28" s="27" t="s">
        <v>1138</v>
      </c>
      <c r="Y28" s="273" t="str">
        <f>IF(G14&lt;60,"20-00-30",IF(AND(G14&gt;=60,G14&lt;120),"20-00-20",IF(AND(G14&gt;=120,G14&lt;200),"20-00-15",IF(AND(G14&gt;=200,G14&lt;280),"20-00-10","Sulfato de Amônio"))))</f>
        <v>20-00-15</v>
      </c>
    </row>
    <row r="29" spans="4:25" ht="15" customHeight="1" x14ac:dyDescent="0.2">
      <c r="D29" s="169"/>
      <c r="E29" s="317" t="str">
        <f>I26&amp;" Aplicações de"</f>
        <v>2 Aplicações de</v>
      </c>
      <c r="F29" s="224">
        <f>(W28*5)/I26</f>
        <v>300</v>
      </c>
      <c r="G29" s="273" t="s">
        <v>2235</v>
      </c>
      <c r="H29" s="169"/>
      <c r="I29" s="169"/>
      <c r="W29" s="263">
        <f>IF(G14&lt;60,360,IF(AND(G14&gt;=60,G14&lt;100),300,IF(AND(G14&gt;=100,G14&lt;150),240,IF(AND(G14&gt;=150,G14&lt;200),120,0))))</f>
        <v>240</v>
      </c>
      <c r="X29" s="26" t="s">
        <v>1125</v>
      </c>
    </row>
    <row r="30" spans="4:25" ht="15" customHeight="1" x14ac:dyDescent="0.2"/>
    <row r="31" spans="4:25" ht="15" customHeight="1" x14ac:dyDescent="0.2"/>
    <row r="32" spans="4:25" ht="15" customHeight="1" x14ac:dyDescent="0.2"/>
    <row r="33" spans="2:7" ht="15" customHeight="1" x14ac:dyDescent="0.2"/>
    <row r="34" spans="2:7" ht="15" customHeight="1" x14ac:dyDescent="0.2"/>
    <row r="35" spans="2:7" ht="15" customHeight="1" x14ac:dyDescent="0.2"/>
    <row r="36" spans="2:7" ht="15" customHeight="1" x14ac:dyDescent="0.2"/>
    <row r="37" spans="2:7" ht="15" customHeight="1" x14ac:dyDescent="0.2"/>
    <row r="38" spans="2:7" ht="15" customHeight="1" x14ac:dyDescent="0.2">
      <c r="D38" s="226" t="s">
        <v>891</v>
      </c>
      <c r="E38" s="871">
        <f ca="1">TODAY()</f>
        <v>45064</v>
      </c>
      <c r="F38" s="755"/>
      <c r="G38" s="60" t="s">
        <v>373</v>
      </c>
    </row>
    <row r="39" spans="2:7" ht="15" customHeight="1" x14ac:dyDescent="0.2"/>
    <row r="40" spans="2:7" s="60" customFormat="1" ht="15" hidden="1" customHeight="1" x14ac:dyDescent="0.2">
      <c r="B40" s="266"/>
      <c r="C40" s="266"/>
    </row>
    <row r="41" spans="2:7" ht="15" hidden="1" customHeight="1" x14ac:dyDescent="0.2"/>
    <row r="42" spans="2:7" ht="15" hidden="1" customHeight="1" x14ac:dyDescent="0.2"/>
    <row r="43" spans="2:7" ht="15" hidden="1" customHeight="1" x14ac:dyDescent="0.2"/>
    <row r="44" spans="2:7" ht="15" hidden="1" customHeight="1" x14ac:dyDescent="0.2"/>
    <row r="45" spans="2:7" ht="15" hidden="1" customHeight="1" x14ac:dyDescent="0.2"/>
    <row r="46" spans="2:7" ht="15" hidden="1" customHeight="1" x14ac:dyDescent="0.2"/>
    <row r="47" spans="2:7" ht="15" hidden="1" customHeight="1" x14ac:dyDescent="0.2"/>
    <row r="48" spans="2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</sheetData>
  <sheetProtection algorithmName="SHA-512" hashValue="yKnkwMzsPP1ftRphMP4NwXPVdOMG+zi6hzNl5FsE2aS64HymVekG+QSFO6s5/KUbkIjgnL87cZ+zEHHVL0bqAg==" saltValue="oCTQVDn63pPdZZCjlA1jAQ==" spinCount="100000" sheet="1" objects="1" scenarios="1" selectLockedCells="1"/>
  <mergeCells count="3">
    <mergeCell ref="E38:F38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colBreaks count="1" manualBreakCount="1">
    <brk id="10" max="1048575" man="1"/>
  </col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5">
    <pageSetUpPr fitToPage="1"/>
  </sheetPr>
  <dimension ref="A1:Z59"/>
  <sheetViews>
    <sheetView showGridLines="0" showRowColHeaders="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7" width="9.140625" style="266" hidden="1" customWidth="1"/>
    <col min="18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2094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190</v>
      </c>
      <c r="G11" s="237">
        <v>80</v>
      </c>
      <c r="H11" s="266" t="s">
        <v>1046</v>
      </c>
      <c r="I11" s="680">
        <f>(100/(G11/100))*100</f>
        <v>12500</v>
      </c>
      <c r="J11" s="263" t="s">
        <v>347</v>
      </c>
    </row>
    <row r="12" spans="1:16" ht="15" customHeight="1" x14ac:dyDescent="0.2">
      <c r="D12" s="266" t="s">
        <v>846</v>
      </c>
      <c r="G12" s="237">
        <v>6</v>
      </c>
      <c r="H12" s="266" t="s">
        <v>349</v>
      </c>
      <c r="I12" s="680"/>
      <c r="J12" s="263"/>
    </row>
    <row r="13" spans="1:16" ht="15" customHeight="1" x14ac:dyDescent="0.2">
      <c r="G13" s="265"/>
      <c r="H13" s="271"/>
    </row>
    <row r="14" spans="1:16" ht="15" customHeight="1" x14ac:dyDescent="0.2">
      <c r="D14" s="266" t="s">
        <v>338</v>
      </c>
      <c r="G14" s="237">
        <v>8</v>
      </c>
      <c r="H14" s="49" t="s">
        <v>1953</v>
      </c>
    </row>
    <row r="15" spans="1:16" ht="15" customHeight="1" x14ac:dyDescent="0.2">
      <c r="G15" s="237">
        <v>50</v>
      </c>
      <c r="H15" s="49" t="s">
        <v>1933</v>
      </c>
    </row>
    <row r="16" spans="1:16" ht="15" customHeight="1" x14ac:dyDescent="0.2">
      <c r="G16" s="237">
        <v>2</v>
      </c>
      <c r="H16" s="49" t="s">
        <v>2209</v>
      </c>
    </row>
    <row r="17" spans="3:26" ht="15" customHeight="1" x14ac:dyDescent="0.2">
      <c r="G17" s="237">
        <v>6</v>
      </c>
      <c r="H17" s="49" t="s">
        <v>1934</v>
      </c>
    </row>
    <row r="18" spans="3:26" ht="15" customHeight="1" x14ac:dyDescent="0.2">
      <c r="G18" s="237">
        <v>20</v>
      </c>
      <c r="H18" s="49" t="s">
        <v>1929</v>
      </c>
    </row>
    <row r="19" spans="3:26" ht="15" customHeight="1" x14ac:dyDescent="0.2">
      <c r="G19" s="265"/>
    </row>
    <row r="20" spans="3:26" ht="15" customHeight="1" x14ac:dyDescent="0.2">
      <c r="D20" s="266" t="s">
        <v>340</v>
      </c>
      <c r="G20" s="237">
        <v>90</v>
      </c>
      <c r="H20" s="49" t="s">
        <v>341</v>
      </c>
    </row>
    <row r="21" spans="3:26" ht="15" customHeight="1" x14ac:dyDescent="0.2">
      <c r="F21" s="265"/>
    </row>
    <row r="22" spans="3:26" ht="15" customHeight="1" x14ac:dyDescent="0.25">
      <c r="D22" s="291" t="s">
        <v>350</v>
      </c>
      <c r="R22" s="27"/>
    </row>
    <row r="23" spans="3:26" s="502" customFormat="1" ht="15" customHeight="1" x14ac:dyDescent="0.2">
      <c r="C23" s="49"/>
      <c r="D23" s="219" t="s">
        <v>573</v>
      </c>
      <c r="H23" s="49"/>
      <c r="I23" s="681"/>
      <c r="R23" s="681"/>
    </row>
    <row r="24" spans="3:26" ht="15" customHeight="1" x14ac:dyDescent="0.25">
      <c r="D24" s="298" t="s">
        <v>1708</v>
      </c>
      <c r="E24" s="309"/>
      <c r="F24" s="309"/>
      <c r="G24" s="682">
        <f>IF((G17*(70-G18)/G20)&gt;0,G17*(70-G18)/G20,0)</f>
        <v>3.3333333333333335</v>
      </c>
      <c r="H24" s="49" t="s">
        <v>2145</v>
      </c>
      <c r="R24" s="27"/>
    </row>
    <row r="25" spans="3:26" ht="15" customHeight="1" x14ac:dyDescent="0.25">
      <c r="D25" s="298"/>
      <c r="E25" s="309"/>
      <c r="F25" s="309"/>
      <c r="G25" s="682"/>
      <c r="H25" s="49"/>
      <c r="R25" s="27"/>
    </row>
    <row r="26" spans="3:26" ht="15" customHeight="1" x14ac:dyDescent="0.2">
      <c r="D26" s="169" t="s">
        <v>568</v>
      </c>
      <c r="E26" s="169"/>
      <c r="G26" s="224">
        <f>X29</f>
        <v>108</v>
      </c>
      <c r="H26" s="49" t="s">
        <v>569</v>
      </c>
      <c r="I26" s="279"/>
      <c r="O26" s="220"/>
      <c r="R26" s="27"/>
    </row>
    <row r="27" spans="3:26" ht="15" customHeight="1" x14ac:dyDescent="0.2">
      <c r="G27" s="224">
        <f>X33</f>
        <v>80.825999999999993</v>
      </c>
      <c r="H27" s="49" t="s">
        <v>570</v>
      </c>
      <c r="I27" s="279"/>
      <c r="O27" s="220"/>
      <c r="R27" s="27"/>
      <c r="X27" s="208">
        <f>40+(0.013*(G12*1000))</f>
        <v>118</v>
      </c>
      <c r="Y27" s="27" t="s">
        <v>343</v>
      </c>
    </row>
    <row r="28" spans="3:26" ht="15" customHeight="1" x14ac:dyDescent="0.2">
      <c r="G28" s="224">
        <f>X39</f>
        <v>53.411999999999999</v>
      </c>
      <c r="H28" s="49" t="s">
        <v>571</v>
      </c>
      <c r="I28" s="279"/>
      <c r="K28" s="213"/>
      <c r="L28" s="213"/>
      <c r="M28" s="213"/>
      <c r="O28" s="220"/>
      <c r="R28" s="27"/>
      <c r="X28" s="263">
        <f>X27-(G16*5)</f>
        <v>108</v>
      </c>
      <c r="Y28" s="27" t="s">
        <v>1050</v>
      </c>
    </row>
    <row r="29" spans="3:26" ht="15" customHeight="1" x14ac:dyDescent="0.2">
      <c r="F29" s="222"/>
      <c r="H29" s="49"/>
      <c r="O29" s="220"/>
      <c r="R29" s="27"/>
      <c r="X29" s="263">
        <f>IF(X28&gt;0,X28,0)</f>
        <v>108</v>
      </c>
      <c r="Y29" s="27" t="s">
        <v>1045</v>
      </c>
    </row>
    <row r="30" spans="3:26" ht="15" customHeight="1" x14ac:dyDescent="0.2">
      <c r="D30" s="169" t="s">
        <v>628</v>
      </c>
      <c r="F30" s="222"/>
      <c r="X30" s="27"/>
      <c r="Y30" s="27"/>
      <c r="Z30" s="27"/>
    </row>
    <row r="31" spans="3:26" ht="15" customHeight="1" x14ac:dyDescent="0.2">
      <c r="D31" s="683" t="s">
        <v>2001</v>
      </c>
      <c r="F31" s="222"/>
      <c r="X31" s="218">
        <f>75-(2.923*G14)+(5.535*G12)</f>
        <v>84.825999999999993</v>
      </c>
      <c r="Y31" s="27" t="s">
        <v>344</v>
      </c>
      <c r="Z31" s="27"/>
    </row>
    <row r="32" spans="3:26" ht="15" customHeight="1" x14ac:dyDescent="0.2">
      <c r="D32" s="169"/>
      <c r="F32" s="316" t="s">
        <v>1137</v>
      </c>
      <c r="G32" s="224">
        <f>(X42/I11)*1000</f>
        <v>10.8</v>
      </c>
      <c r="H32" s="170" t="str">
        <f>"g/m de sulco de  20 - 0 - "&amp;V33&amp;" ."</f>
        <v>g/m de sulco de  20 - 0 - 10 .</v>
      </c>
      <c r="X32" s="218">
        <f>X31-(G16*2)</f>
        <v>80.825999999999993</v>
      </c>
      <c r="Y32" s="27" t="s">
        <v>1047</v>
      </c>
      <c r="Z32" s="27"/>
    </row>
    <row r="33" spans="4:26" ht="15" customHeight="1" x14ac:dyDescent="0.2">
      <c r="F33" s="222"/>
      <c r="G33" s="276">
        <f>((G27*5)/I11)*1000</f>
        <v>32.330400000000004</v>
      </c>
      <c r="H33" s="49" t="s">
        <v>2211</v>
      </c>
      <c r="J33" s="257"/>
      <c r="K33" s="257"/>
      <c r="V33" s="350">
        <f>ROUND(((G28*0.25)/X42)*100,)</f>
        <v>10</v>
      </c>
      <c r="X33" s="218">
        <f>IF(X32&gt;0,X32,0)</f>
        <v>80.825999999999993</v>
      </c>
      <c r="Y33" s="27" t="s">
        <v>1042</v>
      </c>
      <c r="Z33" s="27"/>
    </row>
    <row r="34" spans="4:26" ht="15" customHeight="1" x14ac:dyDescent="0.2">
      <c r="G34" s="224">
        <f>(60/I11)*1000</f>
        <v>4.8</v>
      </c>
      <c r="H34" s="49" t="s">
        <v>2210</v>
      </c>
      <c r="J34" s="271"/>
      <c r="K34" s="271"/>
      <c r="L34" s="271"/>
      <c r="M34" s="271"/>
      <c r="X34" s="218"/>
      <c r="Y34" s="27"/>
      <c r="Z34" s="27"/>
    </row>
    <row r="35" spans="4:26" ht="15" customHeight="1" x14ac:dyDescent="0.2">
      <c r="F35" s="169"/>
      <c r="I35" s="218"/>
      <c r="X35" s="218"/>
      <c r="Y35" s="27"/>
      <c r="Z35" s="27"/>
    </row>
    <row r="36" spans="4:26" ht="15" customHeight="1" x14ac:dyDescent="0.2">
      <c r="F36" s="316" t="s">
        <v>342</v>
      </c>
      <c r="G36" s="224">
        <f>G32*3</f>
        <v>32.400000000000006</v>
      </c>
      <c r="H36" s="213" t="str">
        <f>"g/m de sulco de  20 - 0 - "&amp;V33&amp;" ."</f>
        <v>g/m de sulco de  20 - 0 - 10 .</v>
      </c>
      <c r="I36" s="218"/>
      <c r="X36" s="27"/>
      <c r="Y36" s="27"/>
      <c r="Z36" s="27"/>
    </row>
    <row r="37" spans="4:26" ht="15" customHeight="1" x14ac:dyDescent="0.2">
      <c r="H37" s="305"/>
      <c r="I37" s="277"/>
      <c r="J37" s="257"/>
      <c r="K37" s="276"/>
      <c r="L37" s="276"/>
      <c r="X37" s="218">
        <f>55-(0.5*G15)+(4.902*G12)</f>
        <v>59.411999999999999</v>
      </c>
      <c r="Y37" s="27" t="s">
        <v>345</v>
      </c>
      <c r="Z37" s="27"/>
    </row>
    <row r="38" spans="4:26" ht="15" customHeight="1" x14ac:dyDescent="0.2">
      <c r="D38" s="683" t="s">
        <v>2003</v>
      </c>
      <c r="F38" s="289"/>
      <c r="G38" s="271"/>
      <c r="H38" s="297"/>
      <c r="I38" s="310"/>
      <c r="X38" s="218">
        <f>X37-(G16*3)</f>
        <v>53.411999999999999</v>
      </c>
      <c r="Y38" s="27" t="s">
        <v>1051</v>
      </c>
      <c r="Z38" s="27"/>
    </row>
    <row r="39" spans="4:26" ht="15" customHeight="1" x14ac:dyDescent="0.2">
      <c r="F39" s="316" t="s">
        <v>1478</v>
      </c>
      <c r="G39" s="224">
        <f>G32*2</f>
        <v>21.6</v>
      </c>
      <c r="H39" s="170" t="str">
        <f>"g/m de sulco de  10 - "&amp;V40&amp;" - "&amp;V33&amp;" ."</f>
        <v>g/m de sulco de  10 - 15 - 10 .</v>
      </c>
      <c r="I39" s="310"/>
      <c r="X39" s="218">
        <f>IF(X38&gt;0,X38,0)</f>
        <v>53.411999999999999</v>
      </c>
      <c r="Y39" s="27" t="s">
        <v>1043</v>
      </c>
      <c r="Z39" s="27"/>
    </row>
    <row r="40" spans="4:26" ht="15" customHeight="1" x14ac:dyDescent="0.2">
      <c r="F40" s="225"/>
      <c r="G40" s="224">
        <f>G34</f>
        <v>4.8</v>
      </c>
      <c r="H40" s="49" t="s">
        <v>2210</v>
      </c>
      <c r="I40" s="310"/>
      <c r="V40" s="350">
        <f>ROUND((X33*100)/X41,)</f>
        <v>15</v>
      </c>
      <c r="X40" s="27"/>
      <c r="Y40" s="27"/>
      <c r="Z40" s="27"/>
    </row>
    <row r="41" spans="4:26" ht="15" customHeight="1" x14ac:dyDescent="0.2">
      <c r="X41" s="218">
        <f>(G26*5)</f>
        <v>540</v>
      </c>
      <c r="Y41" s="27" t="s">
        <v>1044</v>
      </c>
      <c r="Z41" s="27"/>
    </row>
    <row r="42" spans="4:26" ht="15" customHeight="1" x14ac:dyDescent="0.2">
      <c r="F42" s="316" t="s">
        <v>1477</v>
      </c>
      <c r="G42" s="224">
        <f>G36*2</f>
        <v>64.800000000000011</v>
      </c>
      <c r="H42" s="170" t="str">
        <f>"g/m de sulco de  10 - "&amp;V40&amp;" - "&amp;V33&amp;" ."</f>
        <v>g/m de sulco de  10 - 15 - 10 .</v>
      </c>
      <c r="J42" s="257"/>
      <c r="L42" s="276"/>
      <c r="X42" s="218">
        <f>X41*0.25</f>
        <v>135</v>
      </c>
      <c r="Y42" s="27" t="s">
        <v>1048</v>
      </c>
      <c r="Z42" s="27"/>
    </row>
    <row r="43" spans="4:26" ht="15" customHeight="1" x14ac:dyDescent="0.2">
      <c r="F43" s="169"/>
      <c r="I43" s="218"/>
      <c r="X43" s="218">
        <f>X41*0.75</f>
        <v>405</v>
      </c>
      <c r="Y43" s="27" t="s">
        <v>1049</v>
      </c>
      <c r="Z43" s="27"/>
    </row>
    <row r="44" spans="4:26" ht="15" customHeight="1" x14ac:dyDescent="0.2">
      <c r="D44" s="169"/>
      <c r="E44" s="169"/>
      <c r="H44" s="281"/>
      <c r="I44" s="308"/>
      <c r="Z44" s="27"/>
    </row>
    <row r="45" spans="4:26" ht="15" customHeight="1" x14ac:dyDescent="0.2">
      <c r="D45" s="169"/>
      <c r="E45" s="169"/>
      <c r="X45" s="27"/>
      <c r="Y45" s="27"/>
      <c r="Z45" s="27"/>
    </row>
    <row r="46" spans="4:26" ht="15" customHeight="1" x14ac:dyDescent="0.2">
      <c r="D46" s="49"/>
      <c r="N46" s="60"/>
      <c r="O46" s="60"/>
      <c r="P46" s="60"/>
      <c r="Q46" s="60"/>
      <c r="R46" s="60"/>
      <c r="X46" s="27"/>
      <c r="Y46" s="27"/>
      <c r="Z46" s="27"/>
    </row>
    <row r="47" spans="4:26" ht="15" customHeight="1" x14ac:dyDescent="0.2">
      <c r="N47" s="60"/>
      <c r="O47" s="60"/>
      <c r="P47" s="60"/>
      <c r="Q47" s="60"/>
      <c r="R47" s="60"/>
    </row>
    <row r="48" spans="4:26" ht="15" customHeight="1" x14ac:dyDescent="0.2">
      <c r="D48" s="226" t="s">
        <v>891</v>
      </c>
      <c r="E48" s="717">
        <f ca="1">TODAY()</f>
        <v>45064</v>
      </c>
      <c r="F48" s="714"/>
      <c r="G48" s="60" t="s">
        <v>373</v>
      </c>
      <c r="N48" s="60"/>
      <c r="O48" s="60"/>
      <c r="P48" s="60"/>
      <c r="Q48" s="60"/>
      <c r="R48" s="60"/>
    </row>
    <row r="49" spans="4:18" ht="15" customHeight="1" x14ac:dyDescent="0.2">
      <c r="D49" s="320"/>
      <c r="F49" s="267"/>
      <c r="G49" s="60"/>
      <c r="H49" s="60"/>
      <c r="N49" s="60"/>
      <c r="O49" s="60"/>
      <c r="P49" s="60"/>
      <c r="Q49" s="60"/>
      <c r="R49" s="60"/>
    </row>
    <row r="50" spans="4:18" ht="15" hidden="1" customHeight="1" x14ac:dyDescent="0.2"/>
    <row r="51" spans="4:18" ht="15" hidden="1" customHeight="1" x14ac:dyDescent="0.2"/>
    <row r="52" spans="4:18" ht="15" hidden="1" customHeight="1" x14ac:dyDescent="0.2"/>
    <row r="53" spans="4:18" ht="15" hidden="1" customHeight="1" x14ac:dyDescent="0.2"/>
    <row r="54" spans="4:18" ht="15" hidden="1" customHeight="1" x14ac:dyDescent="0.2"/>
    <row r="55" spans="4:18" ht="15" hidden="1" customHeight="1" x14ac:dyDescent="0.2"/>
    <row r="56" spans="4:18" ht="15" hidden="1" customHeight="1" x14ac:dyDescent="0.2"/>
    <row r="57" spans="4:18" ht="15" hidden="1" customHeight="1" x14ac:dyDescent="0.2"/>
    <row r="58" spans="4:18" ht="15" hidden="1" customHeight="1" x14ac:dyDescent="0.2"/>
    <row r="59" spans="4:18" ht="15" hidden="1" customHeight="1" x14ac:dyDescent="0.2"/>
  </sheetData>
  <sheetProtection algorithmName="SHA-512" hashValue="MPS0rfhr1cfJ3wN9TmDAPoymkLiiK1nI2/rlgb9k00S6ppRoZnEBEeBCZBOskT3jErP2RR3STCdav36LcZqr2g==" saltValue="wsJTsdmGLA1qAtaKLOO5Kg==" spinCount="100000" sheet="1" objects="1" scenarios="1" selectLockedCells="1"/>
  <mergeCells count="3">
    <mergeCell ref="C6:N6"/>
    <mergeCell ref="E8:M8"/>
    <mergeCell ref="E48:F4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5">
    <pageSetUpPr fitToPage="1"/>
  </sheetPr>
  <dimension ref="A1:P15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2077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31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HYPERLINK("#"&amp;"'MorangoViveiro'!h1","Viveiro")</f>
        <v>Viveiro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HYPERLINK("#"&amp;"'MorangoProd'!h1","Produção")</f>
        <v>Produção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HYPERLINK("#"&amp;"'MorangoFert'!h1","Fertirrigação Morango")</f>
        <v>Fertirrigação Morango</v>
      </c>
      <c r="G11" s="711"/>
      <c r="H11" s="711"/>
      <c r="I11" s="711"/>
      <c r="J11" s="711"/>
    </row>
    <row r="12" spans="1:16" s="34" customFormat="1" ht="24.95" customHeight="1" thickTop="1" x14ac:dyDescent="0.2">
      <c r="D12" s="266"/>
      <c r="E12" s="266"/>
      <c r="F12" s="266"/>
    </row>
    <row r="13" spans="1:16" s="34" customFormat="1" ht="24.95" hidden="1" customHeight="1" x14ac:dyDescent="0.2">
      <c r="D13" s="266"/>
      <c r="E13" s="266"/>
      <c r="F13" s="266"/>
    </row>
    <row r="14" spans="1:16" s="34" customFormat="1" ht="24.95" hidden="1" customHeight="1" x14ac:dyDescent="0.2">
      <c r="D14" s="266"/>
      <c r="E14" s="266"/>
      <c r="F14" s="266"/>
    </row>
    <row r="15" spans="1:16" s="34" customFormat="1" ht="24.95" hidden="1" customHeight="1" x14ac:dyDescent="0.2">
      <c r="D15" s="266"/>
      <c r="E15" s="266"/>
      <c r="F15" s="266"/>
      <c r="G15" s="266"/>
    </row>
  </sheetData>
  <sheetProtection algorithmName="SHA-512" hashValue="aj2OZJqDiY6xEE2/5NGCl+x0UZhPae+AoGIqJwqv+y3Cm+UoMBAlnb4j2WFS6rvKWNXaSBNqe/LsD35QqiWiDw==" saltValue="ofYbaUr7KOBqR7FaUuyb7A==" spinCount="100000" sheet="1" objects="1" scenarios="1"/>
  <mergeCells count="5"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0" orientation="portrait" cellComments="atEnd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6">
    <pageSetUpPr fitToPage="1"/>
  </sheetPr>
  <dimension ref="A1:W55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2079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4">
      <c r="A8" s="679"/>
      <c r="B8" s="679"/>
      <c r="C8" s="679"/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16" ht="15" customHeight="1" x14ac:dyDescent="0.25">
      <c r="C9" s="674"/>
      <c r="D9" s="674"/>
      <c r="E9" s="674"/>
      <c r="F9" s="674"/>
      <c r="G9" s="674"/>
      <c r="H9" s="674"/>
      <c r="I9" s="674"/>
      <c r="J9" s="674"/>
      <c r="K9" s="674"/>
      <c r="L9" s="676"/>
      <c r="P9" s="33"/>
    </row>
    <row r="10" spans="1:16" ht="15" customHeight="1" x14ac:dyDescent="0.25">
      <c r="D10" s="309"/>
      <c r="E10" s="309"/>
      <c r="F10" s="309"/>
      <c r="G10" s="309"/>
      <c r="H10" s="309"/>
    </row>
    <row r="11" spans="1:16" ht="15" customHeight="1" x14ac:dyDescent="0.2">
      <c r="D11" s="266" t="s">
        <v>671</v>
      </c>
      <c r="G11" s="237">
        <v>2</v>
      </c>
      <c r="H11" s="60" t="s">
        <v>2063</v>
      </c>
      <c r="I11" s="237">
        <v>1.5</v>
      </c>
      <c r="J11" s="60" t="s">
        <v>2064</v>
      </c>
      <c r="K11" s="288">
        <f>10000/(G11*I11)</f>
        <v>3333.3333333333335</v>
      </c>
      <c r="L11" s="281" t="s">
        <v>353</v>
      </c>
    </row>
    <row r="12" spans="1:16" ht="15" customHeight="1" x14ac:dyDescent="0.2">
      <c r="H12" s="208"/>
      <c r="I12" s="27"/>
      <c r="J12" s="299"/>
      <c r="K12" s="27"/>
    </row>
    <row r="13" spans="1:16" ht="15" customHeight="1" x14ac:dyDescent="0.2">
      <c r="H13" s="208"/>
      <c r="I13" s="27"/>
      <c r="J13" s="299"/>
      <c r="K13" s="27"/>
    </row>
    <row r="14" spans="1:16" ht="15" customHeight="1" x14ac:dyDescent="0.2">
      <c r="D14" s="266" t="s">
        <v>1703</v>
      </c>
      <c r="G14" s="237">
        <v>6</v>
      </c>
      <c r="H14" s="356" t="s">
        <v>1953</v>
      </c>
    </row>
    <row r="15" spans="1:16" ht="15" customHeight="1" x14ac:dyDescent="0.2">
      <c r="G15" s="237">
        <v>150</v>
      </c>
      <c r="H15" s="356" t="s">
        <v>1933</v>
      </c>
    </row>
    <row r="16" spans="1:16" ht="15" customHeight="1" x14ac:dyDescent="0.2">
      <c r="G16" s="237">
        <v>7</v>
      </c>
      <c r="H16" s="356" t="s">
        <v>1929</v>
      </c>
    </row>
    <row r="17" spans="4:23" ht="15" customHeight="1" x14ac:dyDescent="0.2">
      <c r="G17" s="237">
        <v>30</v>
      </c>
      <c r="H17" s="356" t="s">
        <v>1934</v>
      </c>
    </row>
    <row r="18" spans="4:23" ht="15" customHeight="1" x14ac:dyDescent="0.2">
      <c r="G18" s="265"/>
    </row>
    <row r="19" spans="4:23" ht="15" customHeight="1" x14ac:dyDescent="0.2">
      <c r="D19" s="266" t="s">
        <v>340</v>
      </c>
      <c r="G19" s="237">
        <v>90</v>
      </c>
      <c r="H19" s="49" t="s">
        <v>341</v>
      </c>
    </row>
    <row r="20" spans="4:23" s="213" customFormat="1" ht="15" customHeight="1" x14ac:dyDescent="0.2">
      <c r="D20" s="266"/>
      <c r="E20" s="266"/>
      <c r="F20" s="266"/>
      <c r="G20" s="266"/>
      <c r="H20" s="266"/>
      <c r="I20" s="266"/>
      <c r="K20" s="266"/>
      <c r="L20" s="266"/>
      <c r="M20" s="266"/>
      <c r="N20" s="266"/>
      <c r="O20" s="266"/>
    </row>
    <row r="21" spans="4:23" ht="15" customHeight="1" x14ac:dyDescent="0.25">
      <c r="D21" s="291" t="s">
        <v>350</v>
      </c>
      <c r="E21" s="291"/>
      <c r="F21" s="291"/>
      <c r="G21" s="291"/>
      <c r="H21" s="291"/>
      <c r="I21" s="27"/>
    </row>
    <row r="22" spans="4:23" ht="15" customHeight="1" x14ac:dyDescent="0.25">
      <c r="D22" s="302" t="s">
        <v>573</v>
      </c>
      <c r="E22" s="309"/>
      <c r="F22" s="309"/>
      <c r="G22" s="309"/>
      <c r="L22" s="27"/>
      <c r="M22" s="27"/>
      <c r="N22" s="26"/>
      <c r="O22" s="26"/>
      <c r="P22" s="26"/>
      <c r="Q22" s="26"/>
    </row>
    <row r="23" spans="4:23" ht="15" customHeight="1" x14ac:dyDescent="0.2">
      <c r="D23" s="298" t="s">
        <v>1708</v>
      </c>
      <c r="E23" s="267"/>
      <c r="G23" s="286">
        <f>IF((G16*(80-G17)/G19)&gt;0,G16*(80-G17)/G19,0)</f>
        <v>3.8888888888888888</v>
      </c>
      <c r="H23" s="300" t="s">
        <v>349</v>
      </c>
      <c r="I23" s="213"/>
      <c r="J23" s="213"/>
      <c r="K23" s="213"/>
      <c r="L23" s="304"/>
      <c r="M23" s="304"/>
      <c r="N23" s="26"/>
      <c r="O23" s="26"/>
      <c r="P23" s="26"/>
      <c r="Q23" s="26"/>
    </row>
    <row r="24" spans="4:23" ht="15" customHeight="1" x14ac:dyDescent="0.2">
      <c r="F24" s="222"/>
      <c r="L24" s="27"/>
      <c r="M24" s="220"/>
      <c r="N24" s="26"/>
      <c r="O24" s="171"/>
      <c r="P24" s="26"/>
      <c r="Q24" s="26"/>
    </row>
    <row r="25" spans="4:23" ht="15" customHeight="1" x14ac:dyDescent="0.2">
      <c r="D25" s="266" t="s">
        <v>1137</v>
      </c>
      <c r="G25" s="224">
        <v>20</v>
      </c>
      <c r="H25" s="170" t="str">
        <f>"g/cova de "&amp;W25&amp;" ou 5 litros de esterco bovino."</f>
        <v>g/cova de 20-00-15 ou 5 litros de esterco bovino.</v>
      </c>
      <c r="N25" s="26"/>
      <c r="P25" s="26"/>
      <c r="Q25" s="26"/>
      <c r="W25" s="171" t="str">
        <f>IF(G15&lt;80,"20-00-30",IF(AND(G15&gt;=80,G15&lt;150),"20-00-20",IF(AND(G15&gt;=150,G15&lt;200),"20-00-15",IF(AND(G15&gt;=200,G15&lt;280),"20-00-10","Sulf. Amônio"))))</f>
        <v>20-00-15</v>
      </c>
    </row>
    <row r="26" spans="4:23" ht="15" customHeight="1" x14ac:dyDescent="0.2">
      <c r="G26" s="224" t="str">
        <f>IF(G14&lt;20,"200",IF(AND(G14&gt;=20,G14&lt;60),"170",IF(AND(G14&gt;=60,G14&lt;100),"150",IF(AND(G14&gt;=100,G14&lt;150),"100",0))))</f>
        <v>200</v>
      </c>
      <c r="H26" s="49" t="s">
        <v>1714</v>
      </c>
      <c r="I26" s="218"/>
      <c r="J26" s="271"/>
      <c r="K26" s="271"/>
      <c r="M26" s="263"/>
      <c r="N26" s="26"/>
      <c r="O26" s="26"/>
      <c r="P26" s="26"/>
      <c r="Q26" s="26"/>
    </row>
    <row r="27" spans="4:23" ht="15" customHeight="1" x14ac:dyDescent="0.2">
      <c r="G27" s="224">
        <v>10</v>
      </c>
      <c r="H27" s="49" t="s">
        <v>2166</v>
      </c>
      <c r="I27" s="218"/>
      <c r="J27" s="306"/>
      <c r="K27" s="27"/>
      <c r="L27" s="27"/>
      <c r="M27" s="263"/>
      <c r="N27" s="26"/>
      <c r="O27" s="26"/>
      <c r="P27" s="26"/>
      <c r="Q27" s="26"/>
    </row>
    <row r="28" spans="4:23" ht="15" customHeight="1" x14ac:dyDescent="0.2">
      <c r="F28" s="169"/>
      <c r="H28" s="265"/>
      <c r="M28" s="263"/>
    </row>
    <row r="29" spans="4:23" ht="15" customHeight="1" x14ac:dyDescent="0.2">
      <c r="D29" s="266" t="s">
        <v>342</v>
      </c>
      <c r="G29" s="224">
        <v>30</v>
      </c>
      <c r="H29" s="170" t="str">
        <f>"g/planta de "&amp;W25&amp;" aos 30 dias do plantio."</f>
        <v>g/planta de 20-00-15 aos 30 dias do plantio.</v>
      </c>
      <c r="I29" s="305"/>
      <c r="J29" s="222"/>
      <c r="K29" s="307"/>
      <c r="N29" s="27"/>
    </row>
    <row r="30" spans="4:23" ht="15" customHeight="1" x14ac:dyDescent="0.2">
      <c r="G30" s="224">
        <v>40</v>
      </c>
      <c r="H30" s="170" t="str">
        <f>"g/planta de "&amp;W25&amp;" aos 60 e 90 dias do plantio."</f>
        <v>g/planta de 20-00-15 aos 60 e 90 dias do plantio.</v>
      </c>
      <c r="I30" s="308"/>
      <c r="M30" s="263"/>
    </row>
    <row r="31" spans="4:23" ht="15" customHeight="1" x14ac:dyDescent="0.2">
      <c r="G31" s="224">
        <v>60</v>
      </c>
      <c r="H31" s="170" t="str">
        <f>"g/planta de "&amp;W25&amp;" aos 120 e 150 dias do plantio."</f>
        <v>g/planta de 20-00-15 aos 120 e 150 dias do plantio.</v>
      </c>
      <c r="I31" s="308"/>
    </row>
    <row r="32" spans="4:23" ht="15" customHeight="1" x14ac:dyDescent="0.2"/>
    <row r="33" spans="4:7" ht="15" customHeight="1" x14ac:dyDescent="0.2"/>
    <row r="34" spans="4:7" ht="15" customHeight="1" x14ac:dyDescent="0.2"/>
    <row r="35" spans="4:7" ht="15" customHeight="1" x14ac:dyDescent="0.2"/>
    <row r="36" spans="4:7" ht="15" customHeight="1" x14ac:dyDescent="0.2"/>
    <row r="37" spans="4:7" ht="15" customHeight="1" x14ac:dyDescent="0.2"/>
    <row r="38" spans="4:7" ht="15" customHeight="1" x14ac:dyDescent="0.2"/>
    <row r="39" spans="4:7" ht="15" customHeight="1" x14ac:dyDescent="0.2">
      <c r="D39" s="226" t="s">
        <v>891</v>
      </c>
      <c r="E39" s="717">
        <f ca="1">TODAY()</f>
        <v>45064</v>
      </c>
      <c r="F39" s="714"/>
      <c r="G39" s="60" t="s">
        <v>373</v>
      </c>
    </row>
    <row r="40" spans="4:7" ht="15" customHeight="1" x14ac:dyDescent="0.2"/>
    <row r="41" spans="4:7" ht="15" hidden="1" customHeight="1" x14ac:dyDescent="0.2"/>
    <row r="42" spans="4:7" ht="15" hidden="1" customHeight="1" x14ac:dyDescent="0.2"/>
    <row r="43" spans="4:7" ht="15" hidden="1" customHeight="1" x14ac:dyDescent="0.2"/>
    <row r="44" spans="4:7" ht="15" hidden="1" customHeight="1" x14ac:dyDescent="0.2"/>
    <row r="45" spans="4:7" ht="15" hidden="1" customHeight="1" x14ac:dyDescent="0.2"/>
    <row r="46" spans="4:7" ht="15" hidden="1" customHeight="1" x14ac:dyDescent="0.2"/>
    <row r="47" spans="4:7" ht="15" hidden="1" customHeight="1" x14ac:dyDescent="0.2"/>
    <row r="48" spans="4:7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</sheetData>
  <sheetProtection algorithmName="SHA-512" hashValue="ismhlcHyb/0k/Bt5CP+MEPPS/9Ifh2HIK3xojswBMqZM5q+zOAa4hYoO5pUtCM8OkKnIwS3Ie38UanYVi4kwvw==" saltValue="C0eA00wXsdrVk9Ttafo4IQ==" spinCount="100000" sheet="1" objects="1" scenarios="1" selectLockedCells="1"/>
  <mergeCells count="3">
    <mergeCell ref="E39:F39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7">
    <pageSetUpPr fitToPage="1"/>
  </sheetPr>
  <dimension ref="A1:X59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1" width="9.140625" style="266" hidden="1" customWidth="1"/>
    <col min="22" max="24" width="0" style="266" hidden="1" customWidth="1"/>
    <col min="25" max="16384" width="9.140625" style="266" hidden="1"/>
  </cols>
  <sheetData>
    <row r="1" spans="1:23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3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3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3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3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3" ht="24.95" customHeight="1" x14ac:dyDescent="0.2">
      <c r="C6" s="699" t="s">
        <v>2080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3" ht="15" customHeight="1" x14ac:dyDescent="0.25">
      <c r="C7" s="486"/>
      <c r="D7" s="486"/>
      <c r="E7" s="486"/>
      <c r="F7" s="486"/>
      <c r="G7" s="486"/>
      <c r="H7" s="486"/>
      <c r="I7" s="486"/>
    </row>
    <row r="8" spans="1:23" ht="15" customHeight="1" x14ac:dyDescent="0.25">
      <c r="A8" s="674"/>
      <c r="B8" s="674"/>
      <c r="C8" s="674"/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  <c r="N8" s="675"/>
      <c r="P8" s="33"/>
      <c r="S8" s="676"/>
      <c r="T8" s="676"/>
      <c r="W8" s="111"/>
    </row>
    <row r="9" spans="1:23" s="379" customFormat="1" ht="15" customHeight="1" x14ac:dyDescent="0.25">
      <c r="B9" s="27"/>
      <c r="C9" s="267"/>
      <c r="D9" s="267"/>
      <c r="E9" s="267"/>
      <c r="F9" s="267"/>
      <c r="G9" s="267"/>
      <c r="H9" s="267"/>
      <c r="I9" s="267"/>
      <c r="J9" s="267"/>
      <c r="K9" s="267"/>
      <c r="L9" s="275"/>
      <c r="M9" s="275"/>
      <c r="N9" s="275"/>
      <c r="O9" s="677"/>
      <c r="P9" s="677"/>
    </row>
    <row r="10" spans="1:23" ht="15" customHeight="1" x14ac:dyDescent="0.2">
      <c r="D10" s="266" t="s">
        <v>671</v>
      </c>
      <c r="G10" s="237">
        <v>0.35</v>
      </c>
      <c r="H10" s="170" t="s">
        <v>2070</v>
      </c>
      <c r="I10" s="237">
        <v>0.3</v>
      </c>
      <c r="J10" s="273" t="s">
        <v>2069</v>
      </c>
      <c r="K10" s="288">
        <f>10000/(G10*I10)*0.6</f>
        <v>57142.857142857138</v>
      </c>
      <c r="L10" s="281" t="s">
        <v>353</v>
      </c>
      <c r="O10" s="281"/>
      <c r="P10" s="281"/>
      <c r="R10" s="27"/>
    </row>
    <row r="11" spans="1:23" ht="15" customHeight="1" x14ac:dyDescent="0.2">
      <c r="J11" s="271"/>
      <c r="K11" s="271"/>
      <c r="R11" s="27"/>
    </row>
    <row r="12" spans="1:23" ht="15" customHeight="1" x14ac:dyDescent="0.2">
      <c r="D12" s="49" t="s">
        <v>1703</v>
      </c>
      <c r="G12" s="237">
        <v>50</v>
      </c>
      <c r="H12" s="49" t="s">
        <v>1953</v>
      </c>
      <c r="I12" s="271"/>
      <c r="J12" s="271"/>
      <c r="K12" s="49"/>
      <c r="R12" s="27"/>
    </row>
    <row r="13" spans="1:23" ht="15" customHeight="1" x14ac:dyDescent="0.2">
      <c r="G13" s="237">
        <v>150</v>
      </c>
      <c r="H13" s="49" t="s">
        <v>1933</v>
      </c>
      <c r="I13" s="271"/>
      <c r="J13" s="271"/>
      <c r="K13" s="49"/>
      <c r="R13" s="27"/>
    </row>
    <row r="14" spans="1:23" ht="15" customHeight="1" x14ac:dyDescent="0.2">
      <c r="G14" s="237">
        <v>2</v>
      </c>
      <c r="H14" s="292" t="s">
        <v>1963</v>
      </c>
      <c r="I14" s="271"/>
      <c r="J14" s="271"/>
      <c r="K14" s="292"/>
      <c r="P14" s="26"/>
      <c r="Q14" s="26"/>
      <c r="R14" s="26"/>
      <c r="S14" s="26"/>
      <c r="T14" s="26"/>
      <c r="U14" s="26"/>
      <c r="V14" s="26"/>
      <c r="W14" s="26"/>
    </row>
    <row r="15" spans="1:23" ht="15" customHeight="1" x14ac:dyDescent="0.2">
      <c r="G15" s="237">
        <v>5.9</v>
      </c>
      <c r="H15" s="273" t="s">
        <v>1934</v>
      </c>
      <c r="I15" s="271"/>
      <c r="J15" s="271"/>
      <c r="K15" s="273"/>
      <c r="P15" s="26"/>
      <c r="Q15" s="26"/>
      <c r="R15" s="26"/>
      <c r="S15" s="26"/>
      <c r="T15" s="26"/>
      <c r="U15" s="26"/>
      <c r="V15" s="26"/>
      <c r="W15" s="26"/>
    </row>
    <row r="16" spans="1:23" ht="15" customHeight="1" x14ac:dyDescent="0.2">
      <c r="G16" s="237">
        <v>46</v>
      </c>
      <c r="H16" s="273" t="s">
        <v>1929</v>
      </c>
      <c r="I16" s="271"/>
      <c r="J16" s="271"/>
      <c r="K16" s="273"/>
      <c r="P16" s="26"/>
      <c r="Q16" s="26"/>
      <c r="R16" s="315"/>
      <c r="S16" s="26"/>
      <c r="T16" s="26"/>
      <c r="U16" s="171"/>
      <c r="V16" s="26"/>
      <c r="W16" s="26"/>
    </row>
    <row r="17" spans="4:23" ht="15" customHeight="1" x14ac:dyDescent="0.2">
      <c r="I17" s="271"/>
      <c r="J17" s="271"/>
      <c r="P17" s="26"/>
      <c r="Q17" s="26"/>
      <c r="R17" s="26"/>
      <c r="S17" s="26"/>
      <c r="T17" s="26"/>
      <c r="U17" s="26"/>
      <c r="V17" s="26"/>
      <c r="W17" s="26"/>
    </row>
    <row r="18" spans="4:23" ht="15" customHeight="1" x14ac:dyDescent="0.2">
      <c r="D18" s="266" t="s">
        <v>340</v>
      </c>
      <c r="G18" s="237">
        <v>90</v>
      </c>
      <c r="H18" s="273" t="s">
        <v>341</v>
      </c>
      <c r="I18" s="49"/>
      <c r="J18" s="49"/>
      <c r="K18" s="273"/>
      <c r="P18" s="26"/>
      <c r="Q18" s="26"/>
      <c r="R18" s="26"/>
      <c r="S18" s="26"/>
      <c r="T18" s="26"/>
      <c r="U18" s="26"/>
      <c r="V18" s="26"/>
      <c r="W18" s="26"/>
    </row>
    <row r="19" spans="4:23" ht="15" customHeight="1" x14ac:dyDescent="0.2">
      <c r="H19" s="49"/>
      <c r="I19" s="49"/>
      <c r="J19" s="49"/>
      <c r="P19" s="26"/>
      <c r="Q19" s="26"/>
      <c r="R19" s="26"/>
      <c r="S19" s="26"/>
      <c r="T19" s="26"/>
      <c r="U19" s="26"/>
      <c r="V19" s="26"/>
      <c r="W19" s="26"/>
    </row>
    <row r="20" spans="4:23" ht="15" customHeight="1" x14ac:dyDescent="0.25">
      <c r="D20" s="291" t="s">
        <v>350</v>
      </c>
      <c r="H20" s="49"/>
      <c r="I20" s="49"/>
      <c r="J20" s="49"/>
      <c r="P20" s="26"/>
      <c r="Q20" s="26"/>
      <c r="R20" s="26"/>
      <c r="S20" s="26"/>
      <c r="T20" s="26"/>
      <c r="U20" s="26"/>
      <c r="V20" s="26"/>
      <c r="W20" s="26"/>
    </row>
    <row r="21" spans="4:23" ht="15" customHeight="1" x14ac:dyDescent="0.2">
      <c r="D21" s="219" t="s">
        <v>573</v>
      </c>
      <c r="H21" s="49"/>
      <c r="I21" s="49"/>
      <c r="J21" s="49"/>
      <c r="R21" s="27"/>
    </row>
    <row r="22" spans="4:23" ht="15" customHeight="1" x14ac:dyDescent="0.2">
      <c r="D22" s="298" t="s">
        <v>1708</v>
      </c>
      <c r="E22" s="292"/>
      <c r="G22" s="286">
        <f>IF((G15*(80-G16)/G18)&gt;0,G15*(80-G16)/G18,0)</f>
        <v>2.2288888888888891</v>
      </c>
      <c r="H22" s="357" t="s">
        <v>349</v>
      </c>
      <c r="I22" s="49"/>
      <c r="J22" s="49"/>
      <c r="N22" s="27"/>
      <c r="O22" s="27"/>
      <c r="P22" s="27"/>
      <c r="Q22" s="27"/>
      <c r="R22" s="27"/>
      <c r="S22" s="27"/>
      <c r="T22" s="27"/>
    </row>
    <row r="23" spans="4:23" ht="15" customHeight="1" x14ac:dyDescent="0.2">
      <c r="D23" s="305"/>
      <c r="E23" s="275"/>
      <c r="F23" s="286"/>
      <c r="G23" s="300"/>
      <c r="H23" s="49"/>
      <c r="I23" s="49"/>
      <c r="J23" s="49"/>
      <c r="N23" s="27"/>
      <c r="O23" s="27"/>
      <c r="P23" s="27"/>
      <c r="Q23" s="27"/>
      <c r="R23" s="27"/>
      <c r="S23" s="27"/>
      <c r="T23" s="27"/>
    </row>
    <row r="24" spans="4:23" ht="15" customHeight="1" x14ac:dyDescent="0.2">
      <c r="D24" s="219" t="s">
        <v>568</v>
      </c>
      <c r="G24" s="222">
        <f>IF((300-(G14*12))&gt;0,300-(G14*12),0)</f>
        <v>276</v>
      </c>
      <c r="H24" s="273" t="s">
        <v>343</v>
      </c>
      <c r="I24" s="325"/>
      <c r="J24" s="325"/>
      <c r="N24" s="27"/>
      <c r="P24" s="27"/>
      <c r="Q24" s="27"/>
      <c r="R24" s="27"/>
      <c r="S24" s="27"/>
      <c r="T24" s="27"/>
    </row>
    <row r="25" spans="4:23" ht="15" customHeight="1" x14ac:dyDescent="0.2">
      <c r="D25" s="678" t="s">
        <v>1159</v>
      </c>
      <c r="G25" s="224">
        <f>IF((435-(2.7514*G12))&gt;0,435-(2.7514*G12),0)</f>
        <v>297.43</v>
      </c>
      <c r="H25" s="273" t="s">
        <v>344</v>
      </c>
      <c r="I25" s="325"/>
      <c r="J25" s="325"/>
      <c r="N25" s="27"/>
      <c r="P25" s="27"/>
      <c r="Q25" s="27"/>
      <c r="R25" s="27"/>
      <c r="S25" s="27"/>
      <c r="T25" s="27"/>
    </row>
    <row r="26" spans="4:23" ht="15" customHeight="1" x14ac:dyDescent="0.2">
      <c r="G26" s="224">
        <f>IF((565-(1.88*G13))&gt;0,565-(1.88*G13),0)</f>
        <v>283</v>
      </c>
      <c r="H26" s="273" t="s">
        <v>345</v>
      </c>
      <c r="I26" s="325"/>
      <c r="J26" s="325"/>
      <c r="N26" s="27"/>
      <c r="P26" s="27"/>
      <c r="Q26" s="27"/>
      <c r="R26" s="27"/>
      <c r="S26" s="27"/>
      <c r="T26" s="27"/>
    </row>
    <row r="27" spans="4:23" ht="15" customHeight="1" x14ac:dyDescent="0.2">
      <c r="H27" s="256"/>
      <c r="I27" s="256"/>
      <c r="J27" s="256"/>
      <c r="K27" s="213"/>
      <c r="L27" s="213"/>
      <c r="M27" s="213"/>
      <c r="N27" s="27"/>
      <c r="Q27" s="27"/>
      <c r="R27" s="27"/>
      <c r="S27" s="27"/>
      <c r="T27" s="27"/>
    </row>
    <row r="28" spans="4:23" ht="15" customHeight="1" x14ac:dyDescent="0.2">
      <c r="D28" s="169" t="s">
        <v>1997</v>
      </c>
      <c r="F28" s="222"/>
      <c r="N28" s="27"/>
      <c r="Q28" s="27"/>
      <c r="R28" s="27"/>
      <c r="S28" s="27"/>
      <c r="T28" s="27"/>
    </row>
    <row r="29" spans="4:23" ht="15" customHeight="1" x14ac:dyDescent="0.2">
      <c r="D29" s="266" t="s">
        <v>1137</v>
      </c>
      <c r="G29" s="222">
        <f>IF(G14&lt;3,5,IF(AND(G14&gt;=3,G14&lt;6),4,IF(AND(G14&gt;=6,G14&lt;8),3,2)))</f>
        <v>5</v>
      </c>
      <c r="H29" s="49" t="s">
        <v>2272</v>
      </c>
      <c r="I29" s="222"/>
      <c r="J29" s="222"/>
      <c r="N29" s="27"/>
      <c r="P29" s="27"/>
      <c r="Q29" s="27"/>
      <c r="R29" s="27"/>
      <c r="S29" s="27"/>
      <c r="T29" s="27"/>
    </row>
    <row r="30" spans="4:23" ht="15" customHeight="1" x14ac:dyDescent="0.2">
      <c r="G30" s="224">
        <f>(G25*5)/7.5</f>
        <v>198.28666666666669</v>
      </c>
      <c r="H30" s="49" t="s">
        <v>2274</v>
      </c>
      <c r="I30" s="303"/>
      <c r="J30" s="303"/>
      <c r="K30" s="218"/>
      <c r="L30" s="271"/>
      <c r="M30" s="271"/>
      <c r="N30" s="306"/>
      <c r="Q30" s="27"/>
      <c r="R30" s="27"/>
      <c r="S30" s="306"/>
      <c r="T30" s="306"/>
    </row>
    <row r="31" spans="4:23" ht="15" customHeight="1" x14ac:dyDescent="0.2">
      <c r="G31" s="224">
        <v>10</v>
      </c>
      <c r="H31" s="49" t="s">
        <v>2273</v>
      </c>
      <c r="I31" s="208"/>
      <c r="J31" s="208"/>
      <c r="K31" s="218"/>
      <c r="L31" s="306"/>
      <c r="M31" s="27"/>
      <c r="N31" s="27"/>
      <c r="Q31" s="27"/>
      <c r="R31" s="27"/>
      <c r="S31" s="306"/>
      <c r="T31" s="27"/>
      <c r="U31" s="263"/>
      <c r="V31" s="27"/>
    </row>
    <row r="32" spans="4:23" ht="15" customHeight="1" x14ac:dyDescent="0.2">
      <c r="F32" s="169"/>
      <c r="H32" s="265"/>
      <c r="I32" s="265"/>
      <c r="J32" s="265"/>
      <c r="N32" s="27"/>
      <c r="O32" s="218"/>
      <c r="P32" s="27"/>
      <c r="Q32" s="27"/>
      <c r="R32" s="27"/>
      <c r="S32" s="306"/>
      <c r="T32" s="27"/>
      <c r="U32" s="263"/>
      <c r="V32" s="27"/>
    </row>
    <row r="33" spans="4:24" ht="15" customHeight="1" x14ac:dyDescent="0.2">
      <c r="D33" s="266" t="s">
        <v>1248</v>
      </c>
      <c r="N33" s="27"/>
      <c r="Q33" s="27"/>
      <c r="R33" s="27"/>
      <c r="S33" s="27"/>
      <c r="T33" s="27"/>
      <c r="U33" s="263"/>
      <c r="V33" s="27"/>
      <c r="W33" s="263">
        <f>(G24*100)/20</f>
        <v>1380</v>
      </c>
      <c r="X33" s="27" t="s">
        <v>1044</v>
      </c>
    </row>
    <row r="34" spans="4:24" ht="15" customHeight="1" x14ac:dyDescent="0.2">
      <c r="D34" s="283" t="s">
        <v>240</v>
      </c>
      <c r="F34" s="224"/>
      <c r="G34" s="224">
        <f>(W33/7.5)*0.11</f>
        <v>20.239999999999998</v>
      </c>
      <c r="H34" s="305" t="str">
        <f>"g/m²  de  20 - 0 - "&amp;W34&amp;"."</f>
        <v>g/m²  de  20 - 0 - 15.</v>
      </c>
      <c r="I34" s="222"/>
      <c r="J34" s="222"/>
      <c r="K34" s="222"/>
      <c r="M34" s="308"/>
      <c r="N34" s="27"/>
      <c r="Q34" s="27"/>
      <c r="R34" s="27"/>
      <c r="W34" s="218">
        <f>ROUND(W35-(0.3*W35),)</f>
        <v>15</v>
      </c>
      <c r="X34" s="273" t="s">
        <v>2275</v>
      </c>
    </row>
    <row r="35" spans="4:24" ht="15" customHeight="1" x14ac:dyDescent="0.2">
      <c r="D35" s="283" t="s">
        <v>459</v>
      </c>
      <c r="F35" s="224"/>
      <c r="G35" s="224">
        <f>(W33/7.5)*0.15</f>
        <v>27.599999999999998</v>
      </c>
      <c r="H35" s="305" t="str">
        <f>"g/m²  de  20 - 0 - "&amp;W35&amp;"."</f>
        <v>g/m²  de  20 - 0 - 21.</v>
      </c>
      <c r="I35" s="222"/>
      <c r="J35" s="222"/>
      <c r="K35" s="222"/>
      <c r="L35" s="224"/>
      <c r="N35" s="27"/>
      <c r="Q35" s="218"/>
      <c r="R35" s="27"/>
      <c r="W35" s="218">
        <f>ROUND(IF(((G26*100)/W33)&lt;30,(G26*100)/W33,30),)</f>
        <v>21</v>
      </c>
      <c r="X35" s="273" t="s">
        <v>2276</v>
      </c>
    </row>
    <row r="36" spans="4:24" ht="15" customHeight="1" x14ac:dyDescent="0.2">
      <c r="D36" s="283" t="s">
        <v>460</v>
      </c>
      <c r="F36" s="224"/>
      <c r="G36" s="276">
        <f>(W33/7.5)*0.15</f>
        <v>27.599999999999998</v>
      </c>
      <c r="H36" s="305" t="str">
        <f>"g/m²  de  15 - 0 - "&amp;W35&amp;"."</f>
        <v>g/m²  de  15 - 0 - 21.</v>
      </c>
      <c r="I36" s="222"/>
      <c r="J36" s="224"/>
      <c r="K36" s="257"/>
      <c r="L36" s="276"/>
      <c r="N36" s="27"/>
      <c r="Q36" s="27"/>
      <c r="R36" s="27"/>
      <c r="W36" s="218">
        <f>ROUND(W35+(0.3*W35),)</f>
        <v>27</v>
      </c>
      <c r="X36" s="283" t="s">
        <v>1247</v>
      </c>
    </row>
    <row r="37" spans="4:24" ht="15" customHeight="1" x14ac:dyDescent="0.2">
      <c r="F37" s="224"/>
      <c r="G37" s="305"/>
      <c r="H37" s="222"/>
      <c r="I37" s="222"/>
      <c r="J37" s="222"/>
      <c r="N37" s="27"/>
      <c r="Q37" s="218"/>
      <c r="R37" s="27"/>
    </row>
    <row r="38" spans="4:24" ht="15" customHeight="1" x14ac:dyDescent="0.2">
      <c r="N38" s="27"/>
      <c r="Q38" s="218"/>
      <c r="R38" s="27"/>
    </row>
    <row r="39" spans="4:24" ht="15" customHeight="1" thickBot="1" x14ac:dyDescent="0.25">
      <c r="N39" s="27"/>
      <c r="Q39" s="218"/>
      <c r="R39" s="27"/>
    </row>
    <row r="40" spans="4:24" ht="15" customHeight="1" thickTop="1" thickBot="1" x14ac:dyDescent="0.25">
      <c r="D40" s="219" t="s">
        <v>2259</v>
      </c>
      <c r="E40" s="281"/>
      <c r="F40" s="281"/>
      <c r="G40" s="861" t="str">
        <f>HYPERLINK("#"&amp;"'MorangoFert'!h1","Fertirrigação Morango")</f>
        <v>Fertirrigação Morango</v>
      </c>
      <c r="H40" s="861"/>
      <c r="I40" s="861"/>
      <c r="J40" s="861"/>
      <c r="K40" s="861"/>
      <c r="N40" s="27"/>
      <c r="O40" s="27"/>
      <c r="P40" s="27"/>
      <c r="Q40" s="27"/>
      <c r="R40" s="27"/>
    </row>
    <row r="41" spans="4:24" ht="15" customHeight="1" thickTop="1" x14ac:dyDescent="0.2"/>
    <row r="42" spans="4:24" ht="15" customHeight="1" x14ac:dyDescent="0.2"/>
    <row r="43" spans="4:24" ht="15" customHeight="1" x14ac:dyDescent="0.2"/>
    <row r="44" spans="4:24" ht="15" customHeight="1" x14ac:dyDescent="0.2"/>
    <row r="45" spans="4:24" ht="15" customHeight="1" x14ac:dyDescent="0.2"/>
    <row r="46" spans="4:24" ht="15" customHeight="1" x14ac:dyDescent="0.2"/>
    <row r="47" spans="4:24" ht="15" customHeight="1" x14ac:dyDescent="0.2"/>
    <row r="48" spans="4:24" ht="15" customHeight="1" x14ac:dyDescent="0.2"/>
    <row r="49" spans="4:15" s="60" customFormat="1" ht="15" customHeight="1" x14ac:dyDescent="0.2">
      <c r="D49" s="266"/>
      <c r="E49" s="266"/>
      <c r="F49" s="266"/>
      <c r="G49" s="266"/>
      <c r="H49" s="266"/>
      <c r="I49" s="266"/>
      <c r="J49" s="266"/>
      <c r="K49" s="266"/>
      <c r="L49" s="266"/>
      <c r="M49" s="266"/>
    </row>
    <row r="50" spans="4:15" s="60" customFormat="1" ht="15" customHeight="1" x14ac:dyDescent="0.2"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7"/>
      <c r="O50" s="267"/>
    </row>
    <row r="51" spans="4:15" s="60" customFormat="1" ht="15" customHeight="1" x14ac:dyDescent="0.2"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7"/>
      <c r="O51" s="267"/>
    </row>
    <row r="52" spans="4:15" s="60" customFormat="1" ht="15" customHeight="1" x14ac:dyDescent="0.2">
      <c r="D52" s="266"/>
      <c r="E52" s="266"/>
      <c r="F52" s="266"/>
      <c r="G52" s="266"/>
      <c r="H52" s="266"/>
      <c r="I52" s="266"/>
      <c r="J52" s="266"/>
      <c r="K52" s="266"/>
      <c r="L52" s="266"/>
      <c r="M52" s="266"/>
    </row>
    <row r="53" spans="4:15" ht="15" customHeight="1" x14ac:dyDescent="0.2"/>
    <row r="54" spans="4:15" ht="15" customHeight="1" x14ac:dyDescent="0.2">
      <c r="N54" s="60"/>
      <c r="O54" s="60"/>
    </row>
    <row r="55" spans="4:15" ht="15" customHeight="1" x14ac:dyDescent="0.2">
      <c r="D55" s="226" t="s">
        <v>891</v>
      </c>
      <c r="E55" s="717">
        <f ca="1">TODAY()</f>
        <v>45064</v>
      </c>
      <c r="F55" s="714"/>
      <c r="G55" s="60" t="s">
        <v>373</v>
      </c>
    </row>
    <row r="56" spans="4:15" ht="15" customHeight="1" x14ac:dyDescent="0.2"/>
    <row r="57" spans="4:15" ht="15" hidden="1" customHeight="1" x14ac:dyDescent="0.2"/>
    <row r="58" spans="4:15" ht="15" hidden="1" customHeight="1" x14ac:dyDescent="0.2"/>
    <row r="59" spans="4:15" ht="15" hidden="1" customHeight="1" x14ac:dyDescent="0.2"/>
  </sheetData>
  <sheetProtection algorithmName="SHA-512" hashValue="f2W1bVntKuDIkpg0LCydJSOAU1ppGItIVpNHtd4ymNnRZ4ymq+hrxrDSx9F5eK+XVpQD8m6eizhVXGBVKgN5Dg==" saltValue="q84hX8D1WAuCq2fUi/4dNA==" spinCount="100000" sheet="1" objects="1" scenarios="1"/>
  <mergeCells count="4">
    <mergeCell ref="G40:K40"/>
    <mergeCell ref="E55:F55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00" verticalDpi="300" r:id="rId1"/>
  <headerFooter alignWithMargins="0"/>
  <colBreaks count="1" manualBreakCount="1">
    <brk id="12" min="6" max="61" man="1"/>
  </colBreaks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6">
    <pageSetUpPr fitToPage="1"/>
  </sheetPr>
  <dimension ref="A1:X76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9" width="9.140625" style="266" hidden="1" customWidth="1"/>
    <col min="20" max="24" width="0" style="266" hidden="1" customWidth="1"/>
    <col min="25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C6" s="699" t="s">
        <v>2078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4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24" ht="15" customHeight="1" x14ac:dyDescent="0.2">
      <c r="C8" s="235"/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  <c r="N8" s="235"/>
    </row>
    <row r="9" spans="1:24" ht="15" customHeight="1" x14ac:dyDescent="0.2">
      <c r="C9" s="295"/>
      <c r="F9" s="281"/>
      <c r="G9" s="281"/>
      <c r="H9" s="281"/>
      <c r="I9" s="281"/>
      <c r="J9" s="281"/>
      <c r="K9" s="281"/>
      <c r="L9" s="281"/>
      <c r="M9" s="281"/>
      <c r="N9" s="37"/>
      <c r="O9" s="37"/>
      <c r="P9" s="37"/>
      <c r="Q9" s="37"/>
      <c r="R9" s="37"/>
      <c r="S9" s="37"/>
      <c r="T9" s="37"/>
      <c r="U9" s="37"/>
    </row>
    <row r="10" spans="1:24" ht="15" customHeight="1" x14ac:dyDescent="0.2">
      <c r="D10" s="49"/>
      <c r="E10" s="118" t="s">
        <v>1971</v>
      </c>
      <c r="F10" s="281"/>
      <c r="G10" s="281"/>
      <c r="H10" s="281"/>
      <c r="I10" s="281"/>
      <c r="J10" s="281"/>
      <c r="K10" s="281"/>
      <c r="L10" s="281"/>
      <c r="M10" s="281"/>
      <c r="N10" s="37"/>
      <c r="O10" s="37"/>
      <c r="P10" s="37"/>
      <c r="Q10" s="37"/>
      <c r="R10" s="37"/>
      <c r="S10" s="37"/>
      <c r="T10" s="37"/>
      <c r="U10" s="37"/>
    </row>
    <row r="11" spans="1:24" ht="15" customHeight="1" x14ac:dyDescent="0.2">
      <c r="D11" s="393"/>
      <c r="F11" s="281"/>
      <c r="G11" s="281"/>
      <c r="H11" s="281"/>
      <c r="I11" s="281"/>
      <c r="J11" s="281"/>
      <c r="K11" s="281"/>
      <c r="L11" s="281"/>
      <c r="M11" s="281"/>
      <c r="N11" s="37"/>
      <c r="O11" s="37"/>
      <c r="P11" s="37"/>
      <c r="Q11" s="37"/>
      <c r="R11" s="37"/>
      <c r="S11" s="37"/>
      <c r="T11" s="37"/>
      <c r="U11" s="37"/>
    </row>
    <row r="12" spans="1:24" ht="15" customHeight="1" x14ac:dyDescent="0.2">
      <c r="D12" s="266" t="s">
        <v>1842</v>
      </c>
      <c r="G12" s="237">
        <v>7</v>
      </c>
      <c r="H12" s="266" t="s">
        <v>156</v>
      </c>
      <c r="J12" s="207"/>
    </row>
    <row r="13" spans="1:24" ht="15" customHeight="1" x14ac:dyDescent="0.2">
      <c r="D13" s="266" t="s">
        <v>157</v>
      </c>
      <c r="G13" s="228">
        <v>700</v>
      </c>
      <c r="H13" s="266" t="s">
        <v>158</v>
      </c>
    </row>
    <row r="14" spans="1:24" ht="15" customHeight="1" x14ac:dyDescent="0.2">
      <c r="D14" s="266" t="s">
        <v>161</v>
      </c>
      <c r="G14" s="237">
        <v>8</v>
      </c>
      <c r="H14" s="266" t="s">
        <v>1052</v>
      </c>
      <c r="S14" s="49"/>
      <c r="W14" s="171">
        <f>(G14*G12)</f>
        <v>56</v>
      </c>
      <c r="X14" s="49" t="s">
        <v>187</v>
      </c>
    </row>
    <row r="15" spans="1:24" ht="15" customHeight="1" x14ac:dyDescent="0.2">
      <c r="S15" s="49"/>
      <c r="W15" s="350">
        <f>W19*(100/H23)</f>
        <v>565.85416666666674</v>
      </c>
      <c r="X15" s="49" t="s">
        <v>162</v>
      </c>
    </row>
    <row r="16" spans="1:24" ht="15" customHeight="1" x14ac:dyDescent="0.2">
      <c r="D16" s="49" t="s">
        <v>1703</v>
      </c>
      <c r="F16" s="225"/>
      <c r="G16" s="237">
        <v>120</v>
      </c>
      <c r="H16" s="49" t="s">
        <v>1933</v>
      </c>
      <c r="S16" s="49"/>
      <c r="W16" s="350">
        <f>W15*(G23/100)</f>
        <v>0</v>
      </c>
      <c r="X16" s="49" t="s">
        <v>163</v>
      </c>
    </row>
    <row r="17" spans="4:24" ht="15" customHeight="1" x14ac:dyDescent="0.2">
      <c r="F17" s="225"/>
      <c r="G17" s="237">
        <v>3</v>
      </c>
      <c r="H17" s="292" t="s">
        <v>1963</v>
      </c>
      <c r="S17" s="49"/>
      <c r="W17" s="350"/>
      <c r="X17" s="49"/>
    </row>
    <row r="18" spans="4:24" ht="15" customHeight="1" x14ac:dyDescent="0.2">
      <c r="S18" s="49"/>
      <c r="W18" s="350"/>
      <c r="X18" s="49"/>
    </row>
    <row r="19" spans="4:24" ht="15" customHeight="1" x14ac:dyDescent="0.2">
      <c r="D19" s="49" t="s">
        <v>1844</v>
      </c>
      <c r="S19" s="49"/>
      <c r="W19" s="350">
        <f>IF((458.81-(1.56*G16))&gt;0,458.81-(1.56*G16),0)</f>
        <v>271.61</v>
      </c>
      <c r="X19" s="49" t="s">
        <v>188</v>
      </c>
    </row>
    <row r="20" spans="4:24" ht="15" customHeight="1" x14ac:dyDescent="0.2">
      <c r="D20" s="281"/>
      <c r="E20" s="290" t="s">
        <v>1845</v>
      </c>
      <c r="S20" s="49"/>
      <c r="W20" s="49"/>
      <c r="X20" s="49"/>
    </row>
    <row r="21" spans="4:24" ht="15" customHeight="1" x14ac:dyDescent="0.2">
      <c r="E21" s="393" t="s">
        <v>164</v>
      </c>
      <c r="F21" s="393"/>
      <c r="S21" s="49"/>
      <c r="W21" s="256"/>
      <c r="X21" s="49"/>
    </row>
    <row r="22" spans="4:24" ht="15" customHeight="1" x14ac:dyDescent="0.2">
      <c r="G22" s="395" t="s">
        <v>828</v>
      </c>
      <c r="H22" s="395" t="s">
        <v>165</v>
      </c>
      <c r="S22" s="49"/>
      <c r="W22" s="256">
        <f>IF((250-(G17*12))&gt;0,250-(G17*12),0)</f>
        <v>214</v>
      </c>
      <c r="X22" s="49" t="s">
        <v>1166</v>
      </c>
    </row>
    <row r="23" spans="4:24" ht="15" customHeight="1" x14ac:dyDescent="0.2">
      <c r="D23" s="230" t="s">
        <v>167</v>
      </c>
      <c r="E23" s="879" t="s">
        <v>861</v>
      </c>
      <c r="F23" s="880"/>
      <c r="G23" s="237">
        <v>0</v>
      </c>
      <c r="H23" s="237">
        <v>48</v>
      </c>
      <c r="K23" s="283"/>
      <c r="S23" s="49"/>
      <c r="W23" s="350">
        <f>W22-W16</f>
        <v>214</v>
      </c>
      <c r="X23" s="49" t="s">
        <v>166</v>
      </c>
    </row>
    <row r="24" spans="4:24" ht="15" customHeight="1" x14ac:dyDescent="0.2">
      <c r="D24" s="230" t="s">
        <v>169</v>
      </c>
      <c r="E24" s="879" t="s">
        <v>1617</v>
      </c>
      <c r="F24" s="880"/>
      <c r="G24" s="237">
        <v>45</v>
      </c>
      <c r="H24" s="283"/>
      <c r="J24" s="283"/>
      <c r="K24" s="283"/>
      <c r="M24" s="265"/>
      <c r="S24" s="49"/>
      <c r="W24" s="350">
        <f>W23*(100/G24)</f>
        <v>475.5555555555556</v>
      </c>
      <c r="X24" s="49" t="s">
        <v>168</v>
      </c>
    </row>
    <row r="25" spans="4:24" ht="15" customHeight="1" x14ac:dyDescent="0.2">
      <c r="E25" s="27"/>
      <c r="F25" s="27"/>
      <c r="G25" s="27"/>
      <c r="H25" s="27"/>
      <c r="I25" s="27"/>
      <c r="J25" s="27"/>
      <c r="K25" s="27"/>
      <c r="L25" s="263"/>
      <c r="M25" s="263"/>
      <c r="S25" s="49"/>
      <c r="W25" s="49"/>
      <c r="X25" s="49"/>
    </row>
    <row r="26" spans="4:24" ht="15" customHeight="1" x14ac:dyDescent="0.2">
      <c r="E26" s="169" t="s">
        <v>1848</v>
      </c>
      <c r="G26" s="27"/>
      <c r="H26" s="27"/>
      <c r="I26" s="27"/>
      <c r="J26" s="27"/>
      <c r="K26" s="27"/>
      <c r="L26" s="27"/>
      <c r="M26" s="263"/>
      <c r="S26" s="49"/>
      <c r="W26" s="353">
        <f>IF(((W15/W14)*(G13/10000))&gt;0,(W15/W14)*(G13/10000),0)</f>
        <v>0.70731770833333352</v>
      </c>
      <c r="X26" s="49" t="s">
        <v>189</v>
      </c>
    </row>
    <row r="27" spans="4:24" ht="15" customHeight="1" x14ac:dyDescent="0.2">
      <c r="I27" s="86"/>
      <c r="S27" s="49"/>
      <c r="W27" s="353">
        <f>IF(((W24/W14) *(G13/10000))&gt;0,(W24/W14) *(G13/10000),0)</f>
        <v>0.59444444444444455</v>
      </c>
      <c r="X27" s="49" t="s">
        <v>239</v>
      </c>
    </row>
    <row r="28" spans="4:24" ht="15" customHeight="1" x14ac:dyDescent="0.2">
      <c r="E28" s="397" t="s">
        <v>1847</v>
      </c>
      <c r="F28" s="397"/>
      <c r="G28" s="249" t="s">
        <v>828</v>
      </c>
      <c r="H28" s="249" t="s">
        <v>165</v>
      </c>
      <c r="I28" s="27"/>
      <c r="J28" s="397" t="s">
        <v>1847</v>
      </c>
      <c r="K28" s="397"/>
      <c r="L28" s="249" t="s">
        <v>828</v>
      </c>
      <c r="S28" s="49"/>
    </row>
    <row r="29" spans="4:24" ht="15" customHeight="1" x14ac:dyDescent="0.2">
      <c r="E29" s="356" t="s">
        <v>1556</v>
      </c>
      <c r="F29" s="76"/>
      <c r="G29" s="361">
        <v>12</v>
      </c>
      <c r="H29" s="185">
        <v>45</v>
      </c>
      <c r="I29" s="27"/>
      <c r="J29" s="356" t="s">
        <v>1617</v>
      </c>
      <c r="K29" s="361"/>
      <c r="L29" s="185">
        <v>45</v>
      </c>
      <c r="S29" s="49"/>
    </row>
    <row r="30" spans="4:24" ht="15" customHeight="1" x14ac:dyDescent="0.2">
      <c r="E30" s="356" t="s">
        <v>1550</v>
      </c>
      <c r="F30" s="76"/>
      <c r="G30" s="361">
        <v>0</v>
      </c>
      <c r="H30" s="185">
        <v>60</v>
      </c>
      <c r="I30" s="27"/>
      <c r="J30" s="356" t="s">
        <v>810</v>
      </c>
      <c r="K30" s="361"/>
      <c r="L30" s="185">
        <v>20</v>
      </c>
      <c r="Q30" s="353"/>
      <c r="R30" s="49"/>
      <c r="S30" s="49"/>
    </row>
    <row r="31" spans="4:24" ht="15" customHeight="1" x14ac:dyDescent="0.2">
      <c r="E31" s="368" t="s">
        <v>1553</v>
      </c>
      <c r="F31" s="92"/>
      <c r="G31" s="261">
        <v>0</v>
      </c>
      <c r="H31" s="261">
        <v>48</v>
      </c>
      <c r="I31" s="27"/>
      <c r="J31" s="356" t="s">
        <v>814</v>
      </c>
      <c r="K31" s="361"/>
      <c r="L31" s="185">
        <v>32</v>
      </c>
      <c r="Q31" s="396"/>
    </row>
    <row r="32" spans="4:24" ht="15" customHeight="1" x14ac:dyDescent="0.2">
      <c r="G32" s="27"/>
      <c r="H32" s="27"/>
      <c r="I32" s="27"/>
      <c r="J32" s="88" t="s">
        <v>1552</v>
      </c>
      <c r="K32" s="361"/>
      <c r="L32" s="185">
        <v>15</v>
      </c>
      <c r="Q32" s="396"/>
    </row>
    <row r="33" spans="3:23" ht="15" customHeight="1" x14ac:dyDescent="0.2">
      <c r="G33" s="27"/>
      <c r="H33" s="27"/>
      <c r="I33" s="27"/>
      <c r="J33" s="88" t="s">
        <v>1543</v>
      </c>
      <c r="K33" s="361"/>
      <c r="L33" s="185">
        <v>12</v>
      </c>
      <c r="Q33" s="396"/>
    </row>
    <row r="34" spans="3:23" ht="15" customHeight="1" x14ac:dyDescent="0.2">
      <c r="F34" s="27"/>
      <c r="G34" s="27"/>
      <c r="H34" s="27"/>
      <c r="I34" s="27"/>
      <c r="J34" s="368" t="s">
        <v>1846</v>
      </c>
      <c r="K34" s="261"/>
      <c r="L34" s="261">
        <v>16</v>
      </c>
      <c r="M34" s="263"/>
      <c r="Q34" s="396"/>
    </row>
    <row r="35" spans="3:23" ht="15" customHeight="1" x14ac:dyDescent="0.2">
      <c r="E35" s="26"/>
      <c r="F35" s="27"/>
      <c r="G35" s="27"/>
      <c r="H35" s="27"/>
      <c r="I35" s="27"/>
      <c r="J35" s="27"/>
      <c r="K35" s="263"/>
      <c r="L35" s="263"/>
      <c r="M35" s="263"/>
      <c r="Q35" s="396"/>
    </row>
    <row r="36" spans="3:23" ht="15" customHeight="1" x14ac:dyDescent="0.2">
      <c r="D36" s="27"/>
      <c r="E36" s="27"/>
      <c r="F36" s="27"/>
      <c r="G36" s="27"/>
      <c r="H36" s="27"/>
      <c r="I36" s="27"/>
      <c r="J36" s="27"/>
      <c r="K36" s="263"/>
      <c r="L36" s="263"/>
      <c r="M36" s="263"/>
      <c r="Q36" s="396"/>
    </row>
    <row r="37" spans="3:23" ht="15" customHeight="1" x14ac:dyDescent="0.2">
      <c r="C37" s="26" t="s">
        <v>172</v>
      </c>
      <c r="E37" s="27"/>
      <c r="F37" s="27"/>
      <c r="G37" s="27"/>
      <c r="H37" s="27"/>
      <c r="I37" s="27"/>
      <c r="J37" s="27"/>
      <c r="K37" s="263"/>
      <c r="L37" s="263"/>
      <c r="M37" s="263"/>
      <c r="Q37" s="396"/>
    </row>
    <row r="38" spans="3:23" ht="24.95" customHeight="1" x14ac:dyDescent="0.25">
      <c r="C38" s="699" t="s">
        <v>2078</v>
      </c>
      <c r="D38" s="699"/>
      <c r="E38" s="699"/>
      <c r="F38" s="699"/>
      <c r="G38" s="699"/>
      <c r="H38" s="699"/>
      <c r="I38" s="699"/>
      <c r="J38" s="699"/>
      <c r="K38" s="699"/>
      <c r="L38" s="699"/>
      <c r="M38" s="699"/>
      <c r="N38" s="699"/>
      <c r="O38" s="322"/>
      <c r="P38" s="322"/>
      <c r="Q38" s="322"/>
    </row>
    <row r="39" spans="3:23" ht="15" customHeight="1" x14ac:dyDescent="0.2"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Q39" s="396"/>
      <c r="W39" s="27"/>
    </row>
    <row r="40" spans="3:23" ht="15" customHeight="1" x14ac:dyDescent="0.2">
      <c r="C40" s="235"/>
      <c r="D40" s="227" t="s">
        <v>1313</v>
      </c>
      <c r="E40" s="881" t="str">
        <f>E8</f>
        <v>João</v>
      </c>
      <c r="F40" s="882"/>
      <c r="G40" s="882"/>
      <c r="H40" s="882"/>
      <c r="I40" s="882"/>
      <c r="J40" s="882"/>
      <c r="K40" s="882"/>
      <c r="L40" s="882"/>
      <c r="M40" s="883"/>
      <c r="N40" s="235"/>
      <c r="Q40" s="396"/>
      <c r="W40" s="27"/>
    </row>
    <row r="41" spans="3:23" ht="15" customHeight="1" x14ac:dyDescent="0.2">
      <c r="D41" s="27"/>
      <c r="E41" s="667"/>
      <c r="F41" s="667"/>
      <c r="G41" s="667"/>
      <c r="H41" s="667"/>
      <c r="I41" s="667"/>
      <c r="J41" s="667"/>
      <c r="K41" s="667"/>
      <c r="L41" s="667"/>
      <c r="M41" s="667"/>
      <c r="Q41" s="396"/>
    </row>
    <row r="42" spans="3:23" ht="15" customHeight="1" x14ac:dyDescent="0.2">
      <c r="E42" s="219" t="s">
        <v>568</v>
      </c>
      <c r="F42" s="49"/>
      <c r="G42" s="49"/>
      <c r="I42" s="224">
        <f>W22</f>
        <v>214</v>
      </c>
      <c r="J42" s="273" t="s">
        <v>343</v>
      </c>
      <c r="K42" s="171"/>
      <c r="L42" s="171"/>
      <c r="M42" s="263"/>
      <c r="Q42" s="396"/>
    </row>
    <row r="43" spans="3:23" ht="15" customHeight="1" x14ac:dyDescent="0.2">
      <c r="E43" s="495" t="s">
        <v>1159</v>
      </c>
      <c r="F43" s="49"/>
      <c r="G43" s="49"/>
      <c r="I43" s="224">
        <f>W19</f>
        <v>271.61</v>
      </c>
      <c r="J43" s="273" t="s">
        <v>345</v>
      </c>
      <c r="K43" s="171"/>
      <c r="L43" s="171"/>
      <c r="M43" s="263"/>
      <c r="Q43" s="396"/>
    </row>
    <row r="44" spans="3:23" ht="15" customHeight="1" x14ac:dyDescent="0.2">
      <c r="D44" s="49"/>
      <c r="E44" s="49"/>
      <c r="F44" s="49"/>
      <c r="G44" s="49"/>
      <c r="H44" s="49"/>
      <c r="I44" s="26"/>
      <c r="J44" s="26"/>
      <c r="K44" s="171"/>
      <c r="L44" s="171"/>
      <c r="M44" s="263"/>
      <c r="Q44" s="396"/>
    </row>
    <row r="45" spans="3:23" ht="15" customHeight="1" x14ac:dyDescent="0.2">
      <c r="D45" s="221" t="s">
        <v>1164</v>
      </c>
      <c r="E45" s="221"/>
      <c r="F45" s="26"/>
      <c r="G45" s="26"/>
      <c r="H45" s="26"/>
      <c r="I45" s="26"/>
      <c r="J45" s="26"/>
      <c r="K45" s="171"/>
      <c r="L45" s="171"/>
      <c r="M45" s="263"/>
    </row>
    <row r="46" spans="3:23" ht="15" customHeight="1" x14ac:dyDescent="0.2">
      <c r="D46" s="317"/>
      <c r="E46" s="26" t="s">
        <v>1165</v>
      </c>
      <c r="F46" s="273"/>
      <c r="G46" s="26"/>
      <c r="H46" s="49"/>
      <c r="I46" s="49"/>
      <c r="J46" s="49"/>
      <c r="K46" s="49"/>
      <c r="L46" s="49"/>
      <c r="M46" s="27"/>
    </row>
    <row r="47" spans="3:23" ht="15" customHeight="1" x14ac:dyDescent="0.2">
      <c r="E47" s="668" t="s">
        <v>240</v>
      </c>
      <c r="F47" s="330"/>
      <c r="G47" s="668"/>
      <c r="H47" s="328"/>
      <c r="I47" s="669">
        <f>I49-(0.2*I49)</f>
        <v>0.56585416666666677</v>
      </c>
      <c r="J47" s="330" t="s">
        <v>174</v>
      </c>
      <c r="K47" s="670" t="str">
        <f>E23</f>
        <v>Sulfato de potássio</v>
      </c>
      <c r="L47" s="330"/>
      <c r="M47" s="27"/>
    </row>
    <row r="48" spans="3:23" ht="15" customHeight="1" x14ac:dyDescent="0.2">
      <c r="E48" s="346"/>
      <c r="F48" s="332"/>
      <c r="G48" s="346"/>
      <c r="H48" s="157"/>
      <c r="I48" s="671">
        <f>W27-(0.2*W27)</f>
        <v>0.47555555555555562</v>
      </c>
      <c r="J48" s="332" t="s">
        <v>175</v>
      </c>
      <c r="K48" s="672" t="str">
        <f>E24</f>
        <v>Ureia</v>
      </c>
      <c r="L48" s="332"/>
      <c r="M48" s="27"/>
    </row>
    <row r="49" spans="4:13" ht="15" customHeight="1" x14ac:dyDescent="0.2">
      <c r="D49" s="273"/>
      <c r="E49" s="668" t="s">
        <v>459</v>
      </c>
      <c r="F49" s="330"/>
      <c r="G49" s="668"/>
      <c r="H49" s="328"/>
      <c r="I49" s="669">
        <f>W26</f>
        <v>0.70731770833333352</v>
      </c>
      <c r="J49" s="330" t="s">
        <v>174</v>
      </c>
      <c r="K49" s="670" t="str">
        <f>K47</f>
        <v>Sulfato de potássio</v>
      </c>
      <c r="L49" s="330"/>
      <c r="M49" s="27"/>
    </row>
    <row r="50" spans="4:13" ht="15" customHeight="1" x14ac:dyDescent="0.2">
      <c r="E50" s="346"/>
      <c r="F50" s="332"/>
      <c r="G50" s="346"/>
      <c r="H50" s="157"/>
      <c r="I50" s="671">
        <f>W27+(0.4*W27)</f>
        <v>0.83222222222222242</v>
      </c>
      <c r="J50" s="332" t="s">
        <v>175</v>
      </c>
      <c r="K50" s="672" t="str">
        <f>K48</f>
        <v>Ureia</v>
      </c>
      <c r="L50" s="332"/>
      <c r="M50" s="27"/>
    </row>
    <row r="51" spans="4:13" ht="15" customHeight="1" x14ac:dyDescent="0.2">
      <c r="E51" s="668" t="s">
        <v>460</v>
      </c>
      <c r="F51" s="330"/>
      <c r="G51" s="668"/>
      <c r="H51" s="328"/>
      <c r="I51" s="669">
        <f>I49+(0.2*I49)</f>
        <v>0.84878125000000026</v>
      </c>
      <c r="J51" s="330" t="s">
        <v>174</v>
      </c>
      <c r="K51" s="670" t="str">
        <f>K47</f>
        <v>Sulfato de potássio</v>
      </c>
      <c r="L51" s="330"/>
      <c r="M51" s="27"/>
    </row>
    <row r="52" spans="4:13" ht="15" customHeight="1" x14ac:dyDescent="0.2">
      <c r="D52" s="273"/>
      <c r="E52" s="346"/>
      <c r="F52" s="332"/>
      <c r="G52" s="346"/>
      <c r="H52" s="157"/>
      <c r="I52" s="671">
        <f>W27-(0.2*W27)</f>
        <v>0.47555555555555562</v>
      </c>
      <c r="J52" s="332" t="s">
        <v>175</v>
      </c>
      <c r="K52" s="672" t="str">
        <f>K48</f>
        <v>Ureia</v>
      </c>
      <c r="L52" s="332"/>
      <c r="M52" s="27"/>
    </row>
    <row r="53" spans="4:13" ht="15" customHeight="1" x14ac:dyDescent="0.2">
      <c r="L53" s="26"/>
      <c r="M53" s="27"/>
    </row>
    <row r="54" spans="4:13" ht="15" customHeight="1" x14ac:dyDescent="0.2">
      <c r="E54" s="26" t="s">
        <v>2278</v>
      </c>
      <c r="F54" s="26"/>
      <c r="G54" s="26"/>
      <c r="I54" s="222">
        <f>G14</f>
        <v>8</v>
      </c>
      <c r="J54" s="273" t="s">
        <v>1690</v>
      </c>
      <c r="L54" s="26"/>
      <c r="M54" s="27"/>
    </row>
    <row r="55" spans="4:13" ht="15" customHeight="1" x14ac:dyDescent="0.2">
      <c r="D55" s="26"/>
      <c r="E55" s="26" t="s">
        <v>1842</v>
      </c>
      <c r="F55" s="26"/>
      <c r="I55" s="222">
        <f>G12</f>
        <v>7</v>
      </c>
      <c r="J55" s="26" t="s">
        <v>1691</v>
      </c>
      <c r="L55" s="26"/>
      <c r="M55" s="27"/>
    </row>
    <row r="56" spans="4:13" ht="15" customHeight="1" x14ac:dyDescent="0.2">
      <c r="E56" s="26" t="s">
        <v>2279</v>
      </c>
      <c r="F56" s="26"/>
      <c r="G56" s="26"/>
      <c r="H56" s="26"/>
      <c r="I56" s="222">
        <f>W14</f>
        <v>56</v>
      </c>
      <c r="J56" s="26" t="s">
        <v>1690</v>
      </c>
      <c r="L56" s="26"/>
      <c r="M56" s="27"/>
    </row>
    <row r="57" spans="4:13" ht="15" customHeight="1" x14ac:dyDescent="0.2">
      <c r="E57" s="26" t="s">
        <v>2277</v>
      </c>
      <c r="F57" s="26"/>
      <c r="I57" s="673">
        <f>G13</f>
        <v>700</v>
      </c>
      <c r="J57" s="26" t="s">
        <v>158</v>
      </c>
      <c r="L57" s="26"/>
      <c r="M57" s="27"/>
    </row>
    <row r="58" spans="4:13" ht="15" customHeight="1" x14ac:dyDescent="0.2">
      <c r="K58" s="49"/>
      <c r="L58" s="26"/>
      <c r="M58" s="27"/>
    </row>
    <row r="59" spans="4:13" ht="15" customHeight="1" x14ac:dyDescent="0.2">
      <c r="K59" s="26"/>
      <c r="L59" s="26"/>
      <c r="M59" s="27"/>
    </row>
    <row r="60" spans="4:13" ht="15" customHeight="1" x14ac:dyDescent="0.2">
      <c r="D60" s="26"/>
      <c r="E60" s="26"/>
      <c r="F60" s="26"/>
      <c r="G60" s="26"/>
      <c r="H60" s="26"/>
      <c r="I60" s="26"/>
      <c r="J60" s="26"/>
      <c r="K60" s="26"/>
      <c r="L60" s="26"/>
      <c r="M60" s="27"/>
    </row>
    <row r="61" spans="4:13" ht="15" customHeight="1" x14ac:dyDescent="0.2">
      <c r="D61" s="26"/>
      <c r="E61" s="26"/>
      <c r="F61" s="26"/>
      <c r="G61" s="26"/>
      <c r="H61" s="26"/>
      <c r="I61" s="26"/>
      <c r="J61" s="26"/>
      <c r="K61" s="26"/>
      <c r="L61" s="26"/>
      <c r="M61" s="27"/>
    </row>
    <row r="62" spans="4:13" ht="15" customHeight="1" x14ac:dyDescent="0.2">
      <c r="D62" s="221"/>
      <c r="E62" s="26"/>
      <c r="F62" s="26"/>
      <c r="G62" s="26"/>
      <c r="H62" s="26"/>
      <c r="I62" s="26"/>
      <c r="J62" s="26"/>
      <c r="K62" s="26"/>
      <c r="L62" s="26"/>
      <c r="M62" s="27"/>
    </row>
    <row r="63" spans="4:13" s="213" customFormat="1" ht="15" customHeight="1" x14ac:dyDescent="0.2">
      <c r="D63" s="26"/>
      <c r="E63" s="26"/>
      <c r="F63" s="26"/>
      <c r="G63" s="26"/>
      <c r="H63" s="26"/>
      <c r="I63" s="26"/>
      <c r="J63" s="26"/>
      <c r="K63" s="26"/>
      <c r="L63" s="26"/>
      <c r="M63" s="304"/>
    </row>
    <row r="64" spans="4:13" ht="15" customHeight="1" x14ac:dyDescent="0.2">
      <c r="D64" s="26"/>
      <c r="E64" s="26"/>
      <c r="F64" s="26"/>
      <c r="G64" s="26"/>
      <c r="H64" s="26"/>
      <c r="I64" s="26"/>
      <c r="J64" s="26"/>
      <c r="K64" s="26"/>
      <c r="L64" s="26"/>
      <c r="M64" s="27"/>
    </row>
    <row r="65" spans="4:13" ht="15" customHeight="1" x14ac:dyDescent="0.2">
      <c r="D65" s="226" t="s">
        <v>891</v>
      </c>
      <c r="E65" s="717">
        <f ca="1">TODAY()</f>
        <v>45064</v>
      </c>
      <c r="F65" s="714"/>
      <c r="G65" s="60" t="s">
        <v>373</v>
      </c>
      <c r="H65" s="26"/>
      <c r="I65" s="26"/>
      <c r="J65" s="26"/>
      <c r="K65" s="26"/>
      <c r="L65" s="26"/>
      <c r="M65" s="27"/>
    </row>
    <row r="66" spans="4:13" ht="15" customHeight="1" x14ac:dyDescent="0.2">
      <c r="D66" s="26"/>
      <c r="E66" s="26"/>
      <c r="F66" s="26"/>
      <c r="G66" s="26"/>
      <c r="H66" s="26"/>
      <c r="I66" s="26"/>
      <c r="J66" s="26"/>
      <c r="K66" s="26"/>
      <c r="L66" s="26"/>
      <c r="M66" s="27"/>
    </row>
    <row r="67" spans="4:13" ht="15" hidden="1" customHeight="1" x14ac:dyDescent="0.2"/>
    <row r="68" spans="4:13" ht="15" hidden="1" customHeight="1" x14ac:dyDescent="0.2"/>
    <row r="69" spans="4:13" ht="15" hidden="1" customHeight="1" x14ac:dyDescent="0.2"/>
    <row r="70" spans="4:13" ht="15" hidden="1" customHeight="1" x14ac:dyDescent="0.2"/>
    <row r="71" spans="4:13" ht="15" hidden="1" customHeight="1" x14ac:dyDescent="0.2"/>
    <row r="72" spans="4:13" ht="15" hidden="1" customHeight="1" x14ac:dyDescent="0.2"/>
    <row r="73" spans="4:13" ht="15" hidden="1" customHeight="1" x14ac:dyDescent="0.2"/>
    <row r="74" spans="4:13" ht="15" customHeight="1" x14ac:dyDescent="0.2"/>
    <row r="75" spans="4:13" ht="15" customHeight="1" x14ac:dyDescent="0.2"/>
    <row r="76" spans="4:13" ht="15" customHeight="1" x14ac:dyDescent="0.2"/>
  </sheetData>
  <sheetProtection algorithmName="SHA-512" hashValue="Je2jkORORrHd0GYD3kVACPgIKPOmPLvy4690ou8WYczz/Tvyhybho1Q9oQ5ozJAJOvv70eGViGq2nufICwStXw==" saltValue="JhPFtwWW3v2ShA3WIZkZ/g==" spinCount="100000" sheet="1" objects="1" scenarios="1" selectLockedCells="1"/>
  <mergeCells count="7">
    <mergeCell ref="E65:F65"/>
    <mergeCell ref="C6:N6"/>
    <mergeCell ref="E8:M8"/>
    <mergeCell ref="E23:F23"/>
    <mergeCell ref="E24:F24"/>
    <mergeCell ref="C38:N38"/>
    <mergeCell ref="E40:M40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colBreaks count="1" manualBreakCount="1">
    <brk id="12" max="1048575" man="1"/>
  </colBreaks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8">
    <pageSetUpPr fitToPage="1"/>
  </sheetPr>
  <dimension ref="A1:P14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2073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31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HYPERLINK("#"&amp;"'Nectarina1a2'!H1","Formação - 1 a 2 anos")</f>
        <v>Formação - 1 a 2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HYPERLINK("#"&amp;"'Nectarina3a4'!H1","Formação - 3 a 4 anos")</f>
        <v>Formação - 3 a 4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HYPERLINK("#"&amp;"'NectarinaProd'!h1","Produção (5° ano em diante)")</f>
        <v>Produção (5° ano em diante)</v>
      </c>
      <c r="G12" s="711"/>
      <c r="H12" s="711"/>
      <c r="I12" s="711"/>
      <c r="J12" s="711"/>
    </row>
    <row r="13" spans="1:16" s="32" customFormat="1" ht="24.95" customHeight="1" thickTop="1" x14ac:dyDescent="0.35"/>
    <row r="14" spans="1:16" ht="24.95" customHeight="1" x14ac:dyDescent="0.2">
      <c r="D14" s="36"/>
    </row>
  </sheetData>
  <sheetProtection algorithmName="SHA-512" hashValue="Urag69JngbJUNB1HZMJ5yeMMGFkniWom1hZkLnkZxEoI42wZ034Q4+wJNvGALzwIwqrATXeKgwhyih/FBcgLzw==" saltValue="1crycL/7/4og6bmwsVKfKA==" spinCount="100000" sheet="1" objects="1" scenarios="1"/>
  <mergeCells count="6">
    <mergeCell ref="F12:J12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0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>
    <pageSetUpPr fitToPage="1"/>
  </sheetPr>
  <dimension ref="A1:Y52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88" t="s">
        <v>1825</v>
      </c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7" spans="1:16" ht="15" customHeight="1" x14ac:dyDescent="0.2">
      <c r="C7" s="713" t="s">
        <v>1620</v>
      </c>
      <c r="D7" s="713"/>
      <c r="E7" s="713"/>
      <c r="F7" s="713"/>
      <c r="G7" s="713"/>
      <c r="H7" s="713"/>
      <c r="I7" s="713"/>
      <c r="J7" s="713"/>
      <c r="K7" s="713"/>
      <c r="L7" s="713"/>
      <c r="M7" s="713"/>
      <c r="N7" s="713"/>
      <c r="O7" s="57"/>
    </row>
    <row r="8" spans="1:16" ht="15" customHeight="1" x14ac:dyDescent="0.2">
      <c r="E8" s="298"/>
      <c r="F8" s="298"/>
      <c r="G8" s="298"/>
      <c r="H8" s="298"/>
      <c r="I8" s="298"/>
      <c r="J8" s="298"/>
      <c r="K8" s="298"/>
      <c r="L8" s="298"/>
    </row>
    <row r="9" spans="1:16" ht="15" customHeight="1" x14ac:dyDescent="0.2">
      <c r="D9" s="391" t="s">
        <v>1313</v>
      </c>
      <c r="E9" s="696"/>
      <c r="F9" s="696"/>
      <c r="G9" s="696"/>
      <c r="H9" s="696"/>
      <c r="I9" s="696"/>
      <c r="J9" s="696"/>
      <c r="K9" s="696"/>
      <c r="L9" s="696"/>
      <c r="M9" s="696"/>
    </row>
    <row r="10" spans="1:16" ht="15" customHeight="1" x14ac:dyDescent="0.2">
      <c r="D10" s="391" t="s">
        <v>832</v>
      </c>
      <c r="E10" s="696"/>
      <c r="F10" s="696"/>
      <c r="G10" s="696"/>
      <c r="H10" s="696"/>
      <c r="I10" s="696"/>
      <c r="J10" s="696"/>
      <c r="K10" s="696"/>
      <c r="L10" s="696"/>
      <c r="M10" s="696"/>
    </row>
    <row r="11" spans="1:16" ht="15" customHeight="1" x14ac:dyDescent="0.2"/>
    <row r="12" spans="1:16" ht="15" customHeight="1" x14ac:dyDescent="0.2">
      <c r="D12" s="266" t="s">
        <v>1153</v>
      </c>
      <c r="F12" s="265" t="s">
        <v>1138</v>
      </c>
      <c r="G12" s="237">
        <v>20</v>
      </c>
      <c r="H12" s="49" t="s">
        <v>278</v>
      </c>
    </row>
    <row r="13" spans="1:16" ht="15" customHeight="1" x14ac:dyDescent="0.2">
      <c r="F13" s="265" t="s">
        <v>1125</v>
      </c>
      <c r="G13" s="237">
        <v>60</v>
      </c>
      <c r="H13" s="49" t="s">
        <v>278</v>
      </c>
    </row>
    <row r="14" spans="1:16" ht="15" customHeight="1" x14ac:dyDescent="0.3">
      <c r="F14" s="265" t="s">
        <v>1124</v>
      </c>
      <c r="G14" s="237">
        <v>1.3</v>
      </c>
      <c r="H14" s="49" t="s">
        <v>1784</v>
      </c>
    </row>
    <row r="15" spans="1:16" ht="15" customHeight="1" x14ac:dyDescent="0.3">
      <c r="F15" s="265" t="s">
        <v>1123</v>
      </c>
      <c r="G15" s="237">
        <v>0.9</v>
      </c>
      <c r="H15" s="49" t="s">
        <v>1784</v>
      </c>
    </row>
    <row r="16" spans="1:16" ht="15" customHeight="1" x14ac:dyDescent="0.2">
      <c r="F16" s="265" t="s">
        <v>718</v>
      </c>
      <c r="G16" s="237">
        <v>2</v>
      </c>
      <c r="H16" s="49" t="s">
        <v>1122</v>
      </c>
    </row>
    <row r="17" spans="4:25" ht="15" customHeight="1" x14ac:dyDescent="0.3">
      <c r="F17" s="265" t="s">
        <v>293</v>
      </c>
      <c r="G17" s="237">
        <v>8</v>
      </c>
      <c r="H17" s="49" t="s">
        <v>1784</v>
      </c>
    </row>
    <row r="18" spans="4:25" ht="15" customHeight="1" x14ac:dyDescent="0.2">
      <c r="F18" s="265" t="s">
        <v>296</v>
      </c>
      <c r="G18" s="237">
        <v>20</v>
      </c>
      <c r="H18" s="49" t="s">
        <v>341</v>
      </c>
    </row>
    <row r="19" spans="4:25" ht="15" customHeight="1" x14ac:dyDescent="0.2">
      <c r="F19" s="265"/>
      <c r="G19" s="263"/>
      <c r="H19" s="49"/>
    </row>
    <row r="20" spans="4:25" ht="15" customHeight="1" x14ac:dyDescent="0.2">
      <c r="D20" s="266" t="s">
        <v>1156</v>
      </c>
      <c r="G20" s="237">
        <v>90</v>
      </c>
      <c r="H20" s="49" t="s">
        <v>341</v>
      </c>
      <c r="U20" s="49" t="s">
        <v>290</v>
      </c>
      <c r="W20" s="403">
        <f>(2000000*(G16/100))*0.05*0.03</f>
        <v>60</v>
      </c>
      <c r="X20" s="266" t="s">
        <v>343</v>
      </c>
    </row>
    <row r="21" spans="4:25" ht="15" customHeight="1" x14ac:dyDescent="0.2">
      <c r="G21" s="265"/>
      <c r="W21" s="403"/>
    </row>
    <row r="22" spans="4:25" ht="15" customHeight="1" x14ac:dyDescent="0.2">
      <c r="D22" s="49" t="s">
        <v>1828</v>
      </c>
      <c r="V22" s="266" t="s">
        <v>397</v>
      </c>
      <c r="X22" s="404">
        <f>((((150-W20))*100)/(0.6*G24))</f>
        <v>10000.000000000002</v>
      </c>
      <c r="Y22" s="266" t="s">
        <v>398</v>
      </c>
    </row>
    <row r="23" spans="4:25" ht="15" customHeight="1" x14ac:dyDescent="0.2">
      <c r="U23" s="266" t="s">
        <v>1157</v>
      </c>
      <c r="W23" s="403">
        <f>IF(X22&gt;=5000,X22,5000)</f>
        <v>10000.000000000002</v>
      </c>
    </row>
    <row r="24" spans="4:25" ht="15" customHeight="1" x14ac:dyDescent="0.2">
      <c r="F24" s="265" t="s">
        <v>385</v>
      </c>
      <c r="G24" s="237">
        <v>1.5</v>
      </c>
      <c r="H24" s="49" t="s">
        <v>1122</v>
      </c>
      <c r="U24" s="266" t="s">
        <v>397</v>
      </c>
      <c r="W24" s="404">
        <f>100*(W23/(100-G28))</f>
        <v>20000.000000000004</v>
      </c>
      <c r="X24" s="266" t="s">
        <v>399</v>
      </c>
    </row>
    <row r="25" spans="4:25" ht="15" customHeight="1" x14ac:dyDescent="0.2">
      <c r="F25" s="265" t="s">
        <v>1138</v>
      </c>
      <c r="G25" s="237">
        <v>1.8</v>
      </c>
      <c r="H25" s="49" t="s">
        <v>1122</v>
      </c>
      <c r="K25" s="706" t="str">
        <f>HYPERLINK("#"&amp;"'FertiOrg'!H1","TABELA - Fertilizantes Orgânicos")</f>
        <v>TABELA - Fertilizantes Orgânicos</v>
      </c>
      <c r="L25" s="706"/>
      <c r="M25" s="706"/>
      <c r="N25" s="706"/>
    </row>
    <row r="26" spans="4:25" ht="15" customHeight="1" x14ac:dyDescent="0.2">
      <c r="F26" s="265" t="s">
        <v>1125</v>
      </c>
      <c r="G26" s="7">
        <v>1</v>
      </c>
      <c r="H26" s="49" t="s">
        <v>1122</v>
      </c>
    </row>
    <row r="27" spans="4:25" ht="15" customHeight="1" x14ac:dyDescent="0.2">
      <c r="F27" s="265"/>
      <c r="G27" s="263"/>
      <c r="H27" s="49"/>
    </row>
    <row r="28" spans="4:25" ht="15" customHeight="1" x14ac:dyDescent="0.2">
      <c r="E28" s="281" t="s">
        <v>401</v>
      </c>
      <c r="G28" s="237">
        <v>50</v>
      </c>
      <c r="H28" s="49" t="s">
        <v>341</v>
      </c>
    </row>
    <row r="29" spans="4:25" ht="15" customHeight="1" x14ac:dyDescent="0.2">
      <c r="V29" s="266" t="s">
        <v>291</v>
      </c>
    </row>
    <row r="30" spans="4:25" ht="15" customHeight="1" x14ac:dyDescent="0.25">
      <c r="D30" s="164" t="s">
        <v>1036</v>
      </c>
      <c r="F30" s="263"/>
      <c r="G30" s="265"/>
      <c r="H30" s="263"/>
      <c r="J30" s="405"/>
      <c r="V30" s="265" t="s">
        <v>678</v>
      </c>
      <c r="W30" s="310">
        <f>(((W23*G25)/100)*2.3)*0.5</f>
        <v>207.00000000000003</v>
      </c>
    </row>
    <row r="31" spans="4:25" ht="15" customHeight="1" x14ac:dyDescent="0.25">
      <c r="E31" s="406" t="s">
        <v>573</v>
      </c>
      <c r="F31" s="286">
        <f>IF(W32&gt;0,W32,0)</f>
        <v>4.4444444444444446</v>
      </c>
      <c r="G31" s="266" t="s">
        <v>1147</v>
      </c>
      <c r="V31" s="265" t="s">
        <v>757</v>
      </c>
      <c r="W31" s="310">
        <f>(((X22*G26)/100)*1.2)*0.7</f>
        <v>84</v>
      </c>
    </row>
    <row r="32" spans="4:25" ht="15" customHeight="1" x14ac:dyDescent="0.2">
      <c r="V32" s="266" t="s">
        <v>25</v>
      </c>
      <c r="W32" s="396">
        <f>G17*(70-G18)/G20</f>
        <v>4.4444444444444446</v>
      </c>
      <c r="X32" s="266" t="s">
        <v>349</v>
      </c>
    </row>
    <row r="33" spans="4:24" ht="15" customHeight="1" x14ac:dyDescent="0.25">
      <c r="E33" s="164" t="s">
        <v>1654</v>
      </c>
      <c r="P33" s="396"/>
    </row>
    <row r="34" spans="4:24" ht="15" customHeight="1" x14ac:dyDescent="0.2">
      <c r="E34" s="220">
        <f>(W24/7000)</f>
        <v>2.8571428571428577</v>
      </c>
      <c r="F34" s="266" t="s">
        <v>1151</v>
      </c>
    </row>
    <row r="35" spans="4:24" ht="15" customHeight="1" x14ac:dyDescent="0.2">
      <c r="E35" s="224">
        <f>(W41/7000)*1000</f>
        <v>137.85714285714283</v>
      </c>
      <c r="F35" s="266" t="s">
        <v>400</v>
      </c>
      <c r="I35" s="257"/>
    </row>
    <row r="36" spans="4:24" ht="15" customHeight="1" x14ac:dyDescent="0.2">
      <c r="E36" s="263"/>
    </row>
    <row r="37" spans="4:24" ht="15" customHeight="1" x14ac:dyDescent="0.25">
      <c r="E37" s="164" t="s">
        <v>1655</v>
      </c>
    </row>
    <row r="38" spans="4:24" ht="15" customHeight="1" x14ac:dyDescent="0.2">
      <c r="E38" s="407" t="s">
        <v>146</v>
      </c>
      <c r="U38" s="266" t="s">
        <v>1</v>
      </c>
      <c r="W38" s="265" t="str">
        <f>IF(G12&lt;50,"400",IF(AND(G12&gt;=50,G12&lt;100),"300",IF(AND(G12&gt;=100,G12&lt;200),"200",0)))</f>
        <v>400</v>
      </c>
      <c r="X38" s="266" t="s">
        <v>1010</v>
      </c>
    </row>
    <row r="39" spans="4:24" ht="15" customHeight="1" x14ac:dyDescent="0.2">
      <c r="E39" s="49" t="s">
        <v>1656</v>
      </c>
      <c r="U39" s="266" t="s">
        <v>2</v>
      </c>
      <c r="W39" s="310">
        <f>W38-W30</f>
        <v>192.99999999999997</v>
      </c>
      <c r="X39" s="266" t="s">
        <v>6</v>
      </c>
    </row>
    <row r="40" spans="4:24" ht="15" customHeight="1" x14ac:dyDescent="0.2">
      <c r="U40" s="266" t="s">
        <v>0</v>
      </c>
      <c r="W40" s="310">
        <f>(W39*5)</f>
        <v>964.99999999999989</v>
      </c>
      <c r="X40" s="266" t="s">
        <v>7</v>
      </c>
    </row>
    <row r="41" spans="4:24" ht="15" customHeight="1" x14ac:dyDescent="0.2">
      <c r="D41" s="219"/>
      <c r="U41" s="266" t="s">
        <v>3</v>
      </c>
      <c r="W41" s="310">
        <f>IF(W40&gt;0,W40,0)</f>
        <v>964.99999999999989</v>
      </c>
      <c r="X41" s="266" t="s">
        <v>7</v>
      </c>
    </row>
    <row r="42" spans="4:24" ht="15" customHeight="1" x14ac:dyDescent="0.2"/>
    <row r="43" spans="4:24" ht="15" customHeight="1" x14ac:dyDescent="0.2"/>
    <row r="44" spans="4:24" ht="15" customHeight="1" x14ac:dyDescent="0.2">
      <c r="D44" s="49"/>
    </row>
    <row r="45" spans="4:24" ht="15" customHeight="1" x14ac:dyDescent="0.2"/>
    <row r="46" spans="4:24" ht="15" customHeight="1" x14ac:dyDescent="0.2"/>
    <row r="47" spans="4:24" ht="15" customHeight="1" x14ac:dyDescent="0.2"/>
    <row r="48" spans="4:24" ht="15" customHeight="1" x14ac:dyDescent="0.2"/>
    <row r="49" spans="4:11" ht="15" customHeight="1" x14ac:dyDescent="0.2">
      <c r="D49" s="265" t="s">
        <v>891</v>
      </c>
      <c r="E49" s="715"/>
      <c r="F49" s="715"/>
      <c r="G49" s="266" t="s">
        <v>1152</v>
      </c>
    </row>
    <row r="50" spans="4:11" ht="15" customHeight="1" x14ac:dyDescent="0.2">
      <c r="H50" s="714"/>
      <c r="I50" s="714"/>
      <c r="J50" s="714"/>
      <c r="K50" s="714"/>
    </row>
    <row r="51" spans="4:11" ht="15" customHeight="1" x14ac:dyDescent="0.2">
      <c r="D51" s="265"/>
    </row>
    <row r="52" spans="4:11" ht="15" hidden="1" customHeight="1" x14ac:dyDescent="0.2">
      <c r="E52" s="49"/>
    </row>
  </sheetData>
  <sheetProtection algorithmName="SHA-512" hashValue="Hn3xIqW0gJCiLRoHGUNlunYQSvsoQgK98hHYCuxSmEGcK0YzYKiuA6jSIGtfE4EhZd3DsWiAM6QTlwoUJcb6EQ==" saltValue="/ccj+DxBoJuopr+ua76qbQ==" spinCount="100000" sheet="1" objects="1" scenarios="1"/>
  <mergeCells count="7">
    <mergeCell ref="C6:N6"/>
    <mergeCell ref="C7:N7"/>
    <mergeCell ref="H50:K50"/>
    <mergeCell ref="E9:M9"/>
    <mergeCell ref="E10:M10"/>
    <mergeCell ref="E49:F49"/>
    <mergeCell ref="K25:N25"/>
  </mergeCells>
  <phoneticPr fontId="49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8" orientation="portrait" horizontalDpi="4294967295" r:id="rId1"/>
  <headerFooter alignWithMargins="0"/>
  <rowBreaks count="1" manualBreakCount="1">
    <brk id="52" max="16383" man="1"/>
  </rowBreaks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0">
    <pageSetUpPr fitToPage="1"/>
  </sheetPr>
  <dimension ref="A1:Y40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1995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25" ht="15" customHeight="1" x14ac:dyDescent="0.2">
      <c r="C8" s="235"/>
      <c r="D8" s="227" t="s">
        <v>1313</v>
      </c>
      <c r="E8" s="775" t="s">
        <v>1850</v>
      </c>
      <c r="F8" s="873"/>
      <c r="G8" s="873"/>
      <c r="H8" s="873"/>
      <c r="I8" s="873"/>
      <c r="J8" s="873"/>
      <c r="K8" s="873"/>
      <c r="L8" s="873"/>
      <c r="M8" s="874"/>
    </row>
    <row r="9" spans="1:25" ht="15" customHeight="1" x14ac:dyDescent="0.2"/>
    <row r="10" spans="1:25" ht="15" customHeight="1" x14ac:dyDescent="0.25">
      <c r="D10" s="164" t="s">
        <v>1858</v>
      </c>
      <c r="E10" s="34"/>
      <c r="F10" s="34"/>
    </row>
    <row r="11" spans="1:25" ht="15" customHeight="1" x14ac:dyDescent="0.2">
      <c r="E11" s="49" t="s">
        <v>2071</v>
      </c>
    </row>
    <row r="12" spans="1:25" ht="15" customHeight="1" x14ac:dyDescent="0.2">
      <c r="E12" s="49" t="s">
        <v>2010</v>
      </c>
    </row>
    <row r="13" spans="1:25" ht="15" customHeight="1" x14ac:dyDescent="0.2">
      <c r="E13" s="49" t="s">
        <v>2072</v>
      </c>
    </row>
    <row r="14" spans="1:25" ht="15" customHeight="1" x14ac:dyDescent="0.2">
      <c r="V14" s="27"/>
      <c r="W14" s="27"/>
      <c r="X14" s="27"/>
      <c r="Y14" s="27"/>
    </row>
    <row r="15" spans="1:25" s="60" customFormat="1" ht="15" customHeight="1" x14ac:dyDescent="0.25">
      <c r="D15" s="164" t="s">
        <v>1940</v>
      </c>
      <c r="E15" s="34"/>
      <c r="F15" s="266"/>
      <c r="G15" s="266"/>
      <c r="H15" s="266"/>
      <c r="I15" s="266"/>
      <c r="J15" s="266"/>
      <c r="K15" s="266"/>
      <c r="L15" s="266"/>
      <c r="M15" s="266"/>
      <c r="N15" s="266"/>
      <c r="V15" s="296"/>
      <c r="W15" s="296"/>
      <c r="X15" s="296"/>
      <c r="Y15" s="296"/>
    </row>
    <row r="16" spans="1:25" s="60" customFormat="1" ht="15" customHeight="1" x14ac:dyDescent="0.2">
      <c r="D16" s="49" t="s">
        <v>1703</v>
      </c>
      <c r="G16" s="237">
        <v>4</v>
      </c>
      <c r="H16" s="49" t="s">
        <v>1953</v>
      </c>
      <c r="I16" s="266"/>
      <c r="J16" s="266"/>
      <c r="K16" s="266"/>
      <c r="L16" s="266"/>
      <c r="M16" s="266"/>
      <c r="N16" s="266"/>
      <c r="V16" s="296"/>
      <c r="W16" s="296"/>
      <c r="X16" s="296"/>
      <c r="Y16" s="296"/>
    </row>
    <row r="17" spans="4:25" s="60" customFormat="1" ht="15" customHeight="1" x14ac:dyDescent="0.2">
      <c r="D17" s="266"/>
      <c r="G17" s="237">
        <v>150</v>
      </c>
      <c r="H17" s="49" t="s">
        <v>1933</v>
      </c>
      <c r="I17" s="266"/>
      <c r="J17" s="266"/>
      <c r="K17" s="266"/>
      <c r="L17" s="266"/>
      <c r="M17" s="266"/>
      <c r="N17" s="266"/>
      <c r="V17" s="296"/>
      <c r="W17" s="296"/>
      <c r="X17" s="296"/>
      <c r="Y17" s="296"/>
    </row>
    <row r="18" spans="4:25" s="60" customFormat="1" ht="15" customHeight="1" x14ac:dyDescent="0.2">
      <c r="D18" s="266"/>
      <c r="E18" s="266"/>
      <c r="F18" s="266"/>
      <c r="G18" s="266"/>
      <c r="H18" s="49"/>
      <c r="I18" s="266"/>
      <c r="J18" s="266"/>
      <c r="K18" s="266"/>
      <c r="L18" s="266"/>
      <c r="M18" s="266"/>
      <c r="N18" s="266"/>
      <c r="V18" s="296"/>
      <c r="W18" s="296"/>
      <c r="X18" s="296"/>
      <c r="Y18" s="296"/>
    </row>
    <row r="19" spans="4:25" s="60" customFormat="1" ht="15" customHeight="1" x14ac:dyDescent="0.2">
      <c r="F19" s="225" t="s">
        <v>637</v>
      </c>
      <c r="G19" s="224">
        <f>W19*5</f>
        <v>500</v>
      </c>
      <c r="H19" s="171" t="s">
        <v>558</v>
      </c>
      <c r="I19" s="169" t="s">
        <v>1140</v>
      </c>
      <c r="J19" s="266"/>
      <c r="K19" s="266"/>
      <c r="N19" s="266"/>
      <c r="V19" s="296"/>
      <c r="W19" s="279" t="str">
        <f>IF(G16&lt;10,"100",IF(AND(G16&gt;=10,G16&lt;20),"80",IF(AND(G16&gt;=20,G16&lt;50),"40",0)))</f>
        <v>100</v>
      </c>
      <c r="X19" s="27" t="s">
        <v>653</v>
      </c>
      <c r="Y19" s="296"/>
    </row>
    <row r="20" spans="4:25" s="60" customFormat="1" ht="15" customHeight="1" x14ac:dyDescent="0.2">
      <c r="F20" s="226" t="s">
        <v>1139</v>
      </c>
      <c r="G20" s="276">
        <f>(W20*5)/3</f>
        <v>166.66666666666666</v>
      </c>
      <c r="H20" s="171" t="s">
        <v>558</v>
      </c>
      <c r="I20" s="277" t="str">
        <f>IF(G17&lt;60,"20-00-30",IF(AND(G17&gt;=60,G17&lt;120),"20-00-20",IF(AND(G17&gt;=120,G17&lt;200),"20-00-15",IF(AND(G17&gt;=200,G17&lt;280),"20-00-10","Sulfato de Amônio"))))</f>
        <v>20-00-15</v>
      </c>
      <c r="J20" s="266"/>
      <c r="K20" s="266"/>
      <c r="N20" s="266"/>
      <c r="V20" s="296"/>
      <c r="W20" s="208">
        <v>100</v>
      </c>
      <c r="X20" s="27" t="s">
        <v>654</v>
      </c>
      <c r="Y20" s="296"/>
    </row>
    <row r="21" spans="4:25" s="60" customFormat="1" ht="15" customHeight="1" x14ac:dyDescent="0.2">
      <c r="D21" s="266"/>
      <c r="E21" s="266"/>
      <c r="F21" s="266"/>
      <c r="G21" s="266"/>
      <c r="H21" s="49"/>
      <c r="I21" s="279"/>
      <c r="J21" s="266"/>
      <c r="K21" s="266"/>
      <c r="L21" s="266"/>
      <c r="M21" s="266"/>
      <c r="N21" s="266"/>
      <c r="V21" s="296"/>
      <c r="W21" s="296"/>
      <c r="X21" s="296"/>
      <c r="Y21" s="296"/>
    </row>
    <row r="22" spans="4:25" ht="15" customHeight="1" x14ac:dyDescent="0.25">
      <c r="D22" s="314" t="s">
        <v>636</v>
      </c>
      <c r="E22" s="281"/>
      <c r="F22" s="281"/>
      <c r="G22" s="281"/>
      <c r="H22" s="273"/>
      <c r="I22" s="283"/>
      <c r="J22" s="283"/>
      <c r="K22" s="283"/>
      <c r="L22" s="283"/>
      <c r="M22" s="283"/>
      <c r="N22" s="283"/>
      <c r="V22" s="27"/>
      <c r="W22" s="27"/>
      <c r="X22" s="27"/>
      <c r="Y22" s="27"/>
    </row>
    <row r="23" spans="4:25" ht="15" customHeight="1" x14ac:dyDescent="0.2">
      <c r="D23" s="281" t="s">
        <v>338</v>
      </c>
      <c r="G23" s="237">
        <v>20</v>
      </c>
      <c r="H23" s="49" t="s">
        <v>1929</v>
      </c>
      <c r="I23" s="283"/>
      <c r="J23" s="283"/>
      <c r="K23" s="263"/>
      <c r="L23" s="283"/>
      <c r="M23" s="283"/>
      <c r="N23" s="283"/>
      <c r="V23" s="27"/>
      <c r="W23" s="27"/>
      <c r="X23" s="27"/>
      <c r="Y23" s="27"/>
    </row>
    <row r="24" spans="4:25" ht="15" customHeight="1" x14ac:dyDescent="0.2">
      <c r="D24" s="281"/>
      <c r="G24" s="5">
        <v>7</v>
      </c>
      <c r="H24" s="49" t="s">
        <v>1934</v>
      </c>
      <c r="I24" s="272"/>
      <c r="J24" s="272"/>
      <c r="K24" s="272"/>
      <c r="L24" s="283"/>
      <c r="M24" s="283"/>
      <c r="N24" s="283"/>
    </row>
    <row r="25" spans="4:25" ht="15" customHeight="1" x14ac:dyDescent="0.2">
      <c r="D25" s="281"/>
      <c r="G25" s="281"/>
      <c r="H25" s="273"/>
      <c r="I25" s="283"/>
      <c r="J25" s="283"/>
      <c r="K25" s="263"/>
      <c r="L25" s="283"/>
      <c r="M25" s="283"/>
      <c r="N25" s="283"/>
    </row>
    <row r="26" spans="4:25" ht="15" customHeight="1" x14ac:dyDescent="0.2">
      <c r="D26" s="283" t="s">
        <v>118</v>
      </c>
      <c r="E26" s="281"/>
      <c r="F26" s="281"/>
      <c r="G26" s="237">
        <v>80</v>
      </c>
      <c r="H26" s="273" t="s">
        <v>341</v>
      </c>
      <c r="I26" s="281"/>
      <c r="J26" s="283"/>
      <c r="K26" s="283"/>
      <c r="L26" s="27"/>
      <c r="M26" s="27"/>
      <c r="N26" s="27"/>
    </row>
    <row r="27" spans="4:25" ht="15" customHeight="1" x14ac:dyDescent="0.2">
      <c r="H27" s="49"/>
      <c r="I27" s="281"/>
      <c r="J27" s="283"/>
      <c r="K27" s="283"/>
      <c r="L27" s="220"/>
      <c r="M27" s="27"/>
      <c r="N27" s="27"/>
    </row>
    <row r="28" spans="4:25" ht="15" customHeight="1" x14ac:dyDescent="0.2">
      <c r="D28" s="273" t="s">
        <v>1708</v>
      </c>
      <c r="E28" s="283"/>
      <c r="G28" s="286">
        <f>IF((G24*(60-G23)/G26)&gt;0,G24*(60-G23)/G26,0)</f>
        <v>3.5</v>
      </c>
      <c r="H28" s="273" t="s">
        <v>1878</v>
      </c>
      <c r="I28" s="283"/>
      <c r="J28" s="283"/>
      <c r="K28" s="283"/>
      <c r="L28" s="289"/>
      <c r="M28" s="27"/>
      <c r="N28" s="27"/>
    </row>
    <row r="29" spans="4:25" ht="15" customHeight="1" x14ac:dyDescent="0.2">
      <c r="D29" s="275"/>
      <c r="E29" s="220"/>
      <c r="F29" s="280"/>
      <c r="G29" s="281"/>
      <c r="H29" s="170"/>
      <c r="I29" s="281"/>
      <c r="J29" s="283"/>
      <c r="K29" s="283"/>
      <c r="L29" s="283"/>
      <c r="M29" s="283"/>
      <c r="N29" s="283"/>
    </row>
    <row r="30" spans="4:25" ht="15" customHeight="1" x14ac:dyDescent="0.2">
      <c r="D30" s="169"/>
      <c r="H30" s="272"/>
      <c r="J30" s="27"/>
      <c r="K30" s="27"/>
      <c r="L30" s="27"/>
      <c r="M30" s="27"/>
      <c r="N30" s="27"/>
    </row>
    <row r="31" spans="4:25" ht="15" customHeight="1" x14ac:dyDescent="0.2">
      <c r="D31" s="275"/>
      <c r="E31" s="224"/>
      <c r="F31" s="280"/>
    </row>
    <row r="32" spans="4:25" ht="15" customHeight="1" x14ac:dyDescent="0.2">
      <c r="E32" s="213"/>
      <c r="F32" s="213"/>
      <c r="G32" s="213"/>
      <c r="H32" s="272"/>
      <c r="I32" s="213"/>
      <c r="J32" s="213"/>
      <c r="K32" s="213"/>
      <c r="L32" s="213"/>
      <c r="M32" s="213"/>
      <c r="N32" s="213"/>
    </row>
    <row r="33" spans="4:14" ht="15" customHeight="1" x14ac:dyDescent="0.2">
      <c r="D33" s="275"/>
      <c r="E33" s="281"/>
      <c r="F33" s="281"/>
      <c r="G33" s="281"/>
      <c r="H33" s="281"/>
      <c r="I33" s="281"/>
      <c r="J33" s="281"/>
      <c r="K33" s="281"/>
      <c r="L33" s="281"/>
      <c r="M33" s="281"/>
      <c r="N33" s="281"/>
    </row>
    <row r="34" spans="4:14" ht="15" customHeight="1" x14ac:dyDescent="0.2">
      <c r="D34" s="275"/>
      <c r="E34" s="281"/>
      <c r="F34" s="281"/>
      <c r="G34" s="281"/>
      <c r="H34" s="281"/>
      <c r="I34" s="281"/>
      <c r="J34" s="281"/>
      <c r="K34" s="281"/>
      <c r="L34" s="281"/>
      <c r="M34" s="281"/>
      <c r="N34" s="281"/>
    </row>
    <row r="35" spans="4:14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60"/>
      <c r="N35" s="60"/>
    </row>
    <row r="36" spans="4:14" ht="15" customHeight="1" x14ac:dyDescent="0.2">
      <c r="D36" s="267"/>
      <c r="E36" s="267"/>
      <c r="F36" s="267"/>
      <c r="G36" s="267"/>
      <c r="H36" s="267"/>
      <c r="I36" s="267"/>
      <c r="J36" s="267"/>
      <c r="K36" s="267"/>
      <c r="L36" s="267"/>
      <c r="M36" s="60"/>
      <c r="N36" s="60"/>
    </row>
    <row r="37" spans="4:14" ht="15" customHeight="1" x14ac:dyDescent="0.2">
      <c r="D37" s="267"/>
      <c r="E37" s="60"/>
      <c r="F37" s="60"/>
      <c r="G37" s="60"/>
      <c r="H37" s="60"/>
      <c r="I37" s="60"/>
      <c r="J37" s="60"/>
      <c r="K37" s="60"/>
      <c r="L37" s="60"/>
    </row>
    <row r="38" spans="4:14" s="60" customFormat="1" ht="15" customHeight="1" x14ac:dyDescent="0.2">
      <c r="D38" s="226" t="s">
        <v>891</v>
      </c>
      <c r="E38" s="717">
        <f ca="1">TODAY()</f>
        <v>45064</v>
      </c>
      <c r="F38" s="714"/>
      <c r="G38" s="60" t="s">
        <v>373</v>
      </c>
    </row>
    <row r="39" spans="4:14" s="60" customFormat="1" ht="15" customHeight="1" x14ac:dyDescent="0.2">
      <c r="D39" s="267"/>
      <c r="H39" s="859"/>
      <c r="I39" s="859"/>
      <c r="J39" s="859"/>
      <c r="K39" s="859"/>
    </row>
    <row r="40" spans="4:14" ht="15" customHeight="1" x14ac:dyDescent="0.2"/>
  </sheetData>
  <sheetProtection algorithmName="SHA-512" hashValue="b21zhyULOqI4Os0WUeTrj1tYk2pMjNGx6eZv5li2+aoftVdk2fLgPWKiVhKboPww1vd9n83za9FloIc8g/8jpA==" saltValue="ACEiB10G6kKRGxuq4zjfZA==" spinCount="100000" sheet="1" objects="1" scenarios="1" selectLockedCells="1"/>
  <mergeCells count="4">
    <mergeCell ref="C6:N6"/>
    <mergeCell ref="E8:M8"/>
    <mergeCell ref="E38:F38"/>
    <mergeCell ref="H39:K3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1">
    <pageSetUpPr fitToPage="1"/>
  </sheetPr>
  <dimension ref="A1:Y4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2076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/>
    <row r="8" spans="1:25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s="60" customFormat="1" ht="15" customHeight="1" x14ac:dyDescent="0.2">
      <c r="D9" s="275"/>
      <c r="E9" s="224"/>
      <c r="F9" s="280"/>
      <c r="G9" s="266"/>
      <c r="H9" s="266"/>
      <c r="I9" s="266"/>
      <c r="J9" s="266"/>
      <c r="K9" s="266"/>
      <c r="L9" s="266"/>
      <c r="M9" s="266"/>
      <c r="N9" s="266"/>
    </row>
    <row r="10" spans="1:25" s="60" customFormat="1" ht="15" customHeight="1" x14ac:dyDescent="0.25">
      <c r="D10" s="164" t="s">
        <v>1951</v>
      </c>
      <c r="E10" s="34"/>
      <c r="F10" s="266"/>
      <c r="G10" s="266"/>
      <c r="H10" s="266"/>
      <c r="I10" s="266"/>
      <c r="J10" s="266"/>
      <c r="K10" s="266"/>
      <c r="L10" s="266"/>
      <c r="M10" s="266"/>
      <c r="N10" s="266"/>
    </row>
    <row r="11" spans="1:25" s="60" customFormat="1" ht="15" customHeight="1" x14ac:dyDescent="0.2">
      <c r="D11" s="49" t="s">
        <v>1703</v>
      </c>
      <c r="G11" s="237">
        <v>8</v>
      </c>
      <c r="H11" s="49" t="s">
        <v>1953</v>
      </c>
      <c r="I11" s="266"/>
      <c r="J11" s="266"/>
      <c r="K11" s="266"/>
      <c r="L11" s="266"/>
      <c r="M11" s="266"/>
      <c r="N11" s="266"/>
    </row>
    <row r="12" spans="1:25" s="60" customFormat="1" ht="15" customHeight="1" x14ac:dyDescent="0.2">
      <c r="D12" s="266"/>
      <c r="G12" s="237">
        <v>150</v>
      </c>
      <c r="H12" s="49" t="s">
        <v>1933</v>
      </c>
      <c r="I12" s="266"/>
      <c r="J12" s="266"/>
      <c r="K12" s="266"/>
      <c r="L12" s="266"/>
      <c r="M12" s="266"/>
      <c r="N12" s="266"/>
      <c r="V12" s="296"/>
      <c r="W12" s="296"/>
      <c r="X12" s="296"/>
      <c r="Y12" s="296"/>
    </row>
    <row r="13" spans="1:25" s="60" customFormat="1" ht="15" customHeight="1" x14ac:dyDescent="0.2"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V13" s="296"/>
      <c r="W13" s="296"/>
      <c r="X13" s="296"/>
      <c r="Y13" s="296"/>
    </row>
    <row r="14" spans="1:25" s="60" customFormat="1" ht="15" customHeight="1" x14ac:dyDescent="0.2">
      <c r="F14" s="225" t="s">
        <v>637</v>
      </c>
      <c r="G14" s="224">
        <f>W14*5</f>
        <v>750</v>
      </c>
      <c r="H14" s="273" t="s">
        <v>558</v>
      </c>
      <c r="I14" s="169" t="s">
        <v>1140</v>
      </c>
      <c r="J14" s="266"/>
      <c r="K14" s="266"/>
      <c r="N14" s="266"/>
      <c r="V14" s="296"/>
      <c r="W14" s="279" t="str">
        <f>IF(G11&lt;10,"150",IF(AND(G11&gt;=10,G11&lt;20),"100",IF(AND(G11&gt;=20,G11&lt;50),"80",0)))</f>
        <v>150</v>
      </c>
      <c r="X14" s="27" t="s">
        <v>653</v>
      </c>
      <c r="Y14" s="296"/>
    </row>
    <row r="15" spans="1:25" s="60" customFormat="1" ht="15" customHeight="1" x14ac:dyDescent="0.2">
      <c r="F15" s="226" t="s">
        <v>1139</v>
      </c>
      <c r="G15" s="276">
        <f>(W15*5)/3</f>
        <v>333.33333333333331</v>
      </c>
      <c r="H15" s="273" t="s">
        <v>558</v>
      </c>
      <c r="I15" s="277" t="str">
        <f>IF(G12&lt;60,"20-00-30",IF(AND(G12&gt;=60,G12&lt;120),"20-00-20",IF(AND(G12&gt;=120,G12&lt;200),"20-00-15",IF(AND(G12&gt;=200,G12&lt;280),"20-00-10","Sulfato de Amônio"))))</f>
        <v>20-00-15</v>
      </c>
      <c r="J15" s="266"/>
      <c r="K15" s="266"/>
      <c r="N15" s="266"/>
      <c r="V15" s="296"/>
      <c r="W15" s="208">
        <v>200</v>
      </c>
      <c r="X15" s="27" t="s">
        <v>654</v>
      </c>
      <c r="Y15" s="296"/>
    </row>
    <row r="16" spans="1:25" s="60" customFormat="1" ht="15" customHeight="1" x14ac:dyDescent="0.2">
      <c r="D16" s="266"/>
      <c r="E16" s="266"/>
      <c r="F16" s="266"/>
      <c r="G16" s="266"/>
      <c r="H16" s="266"/>
      <c r="I16" s="279"/>
      <c r="J16" s="266"/>
      <c r="K16" s="266"/>
      <c r="N16" s="266"/>
      <c r="V16" s="296"/>
      <c r="W16" s="27"/>
      <c r="X16" s="27"/>
      <c r="Y16" s="296"/>
    </row>
    <row r="17" spans="4:25" s="60" customFormat="1" ht="15" customHeight="1" x14ac:dyDescent="0.25">
      <c r="D17" s="164" t="s">
        <v>1057</v>
      </c>
      <c r="E17" s="34"/>
      <c r="F17" s="266"/>
      <c r="G17" s="266"/>
      <c r="H17" s="263"/>
      <c r="I17" s="263"/>
      <c r="J17" s="27"/>
      <c r="K17" s="27"/>
      <c r="N17" s="266"/>
      <c r="V17" s="296"/>
      <c r="W17" s="27"/>
      <c r="X17" s="27"/>
      <c r="Y17" s="296"/>
    </row>
    <row r="18" spans="4:25" s="60" customFormat="1" ht="15" customHeight="1" x14ac:dyDescent="0.2">
      <c r="D18" s="49" t="s">
        <v>1703</v>
      </c>
      <c r="G18" s="237">
        <v>5</v>
      </c>
      <c r="H18" s="49" t="s">
        <v>1953</v>
      </c>
      <c r="I18" s="266"/>
      <c r="J18" s="266"/>
      <c r="K18" s="266"/>
      <c r="N18" s="266"/>
      <c r="V18" s="296"/>
      <c r="W18" s="27"/>
      <c r="X18" s="27"/>
      <c r="Y18" s="296"/>
    </row>
    <row r="19" spans="4:25" s="60" customFormat="1" ht="15" customHeight="1" x14ac:dyDescent="0.2">
      <c r="D19" s="266"/>
      <c r="G19" s="237">
        <v>150</v>
      </c>
      <c r="H19" s="49" t="s">
        <v>1933</v>
      </c>
      <c r="I19" s="266"/>
      <c r="J19" s="266"/>
      <c r="K19" s="266"/>
      <c r="N19" s="266"/>
      <c r="V19" s="296"/>
      <c r="W19" s="27"/>
      <c r="X19" s="27"/>
      <c r="Y19" s="296"/>
    </row>
    <row r="20" spans="4:25" s="60" customFormat="1" ht="15" customHeight="1" x14ac:dyDescent="0.2">
      <c r="D20" s="266"/>
      <c r="E20" s="266"/>
      <c r="F20" s="266"/>
      <c r="G20" s="266"/>
      <c r="H20" s="266"/>
      <c r="I20" s="266"/>
      <c r="J20" s="266"/>
      <c r="K20" s="266"/>
      <c r="N20" s="266"/>
      <c r="V20" s="296"/>
      <c r="W20" s="27"/>
      <c r="X20" s="27"/>
      <c r="Y20" s="296"/>
    </row>
    <row r="21" spans="4:25" s="60" customFormat="1" ht="15" customHeight="1" x14ac:dyDescent="0.2">
      <c r="F21" s="225" t="s">
        <v>637</v>
      </c>
      <c r="G21" s="224">
        <f>W21*5</f>
        <v>1000</v>
      </c>
      <c r="H21" s="273" t="s">
        <v>558</v>
      </c>
      <c r="I21" s="169" t="s">
        <v>1140</v>
      </c>
      <c r="J21" s="266"/>
      <c r="K21" s="266"/>
      <c r="N21" s="266"/>
      <c r="V21" s="296"/>
      <c r="W21" s="279" t="str">
        <f>IF(G18&lt;10,"200",IF(AND(G18&gt;=10,G18&lt;20),"150",IF(AND(G18&gt;=20,G18&lt;50),"100",0)))</f>
        <v>200</v>
      </c>
      <c r="X21" s="27" t="s">
        <v>653</v>
      </c>
      <c r="Y21" s="296"/>
    </row>
    <row r="22" spans="4:25" s="60" customFormat="1" ht="15" customHeight="1" x14ac:dyDescent="0.2">
      <c r="F22" s="226" t="s">
        <v>1139</v>
      </c>
      <c r="G22" s="276">
        <f>((W22*100)/20)/3</f>
        <v>500</v>
      </c>
      <c r="H22" s="273" t="s">
        <v>558</v>
      </c>
      <c r="I22" s="277" t="str">
        <f>IF(G19&lt;60,"20-00-30",IF(AND(G19&gt;=60,G19&lt;120),"20-00-20",IF(AND(G19&gt;=120,G19&lt;200),"20-00-15",IF(AND(G19&gt;=200,G19&lt;280),"20-00-10","Sulfato de Amônio"))))</f>
        <v>20-00-15</v>
      </c>
      <c r="J22" s="266"/>
      <c r="K22" s="266"/>
      <c r="N22" s="266"/>
      <c r="V22" s="296"/>
      <c r="W22" s="208">
        <v>300</v>
      </c>
      <c r="X22" s="27" t="s">
        <v>654</v>
      </c>
      <c r="Y22" s="296"/>
    </row>
    <row r="23" spans="4:25" s="60" customFormat="1" ht="15" customHeight="1" x14ac:dyDescent="0.2">
      <c r="D23" s="266"/>
      <c r="E23" s="266"/>
      <c r="F23" s="266"/>
      <c r="G23" s="266"/>
      <c r="H23" s="266"/>
      <c r="I23" s="279"/>
      <c r="J23" s="266"/>
      <c r="K23" s="266"/>
      <c r="L23" s="266"/>
      <c r="M23" s="266"/>
      <c r="N23" s="266"/>
      <c r="V23" s="296"/>
      <c r="W23" s="296"/>
      <c r="X23" s="296"/>
      <c r="Y23" s="296"/>
    </row>
    <row r="24" spans="4:25" ht="15" customHeight="1" x14ac:dyDescent="0.25">
      <c r="D24" s="164" t="s">
        <v>636</v>
      </c>
      <c r="E24" s="281"/>
      <c r="F24" s="281"/>
      <c r="G24" s="281"/>
      <c r="H24" s="283"/>
      <c r="I24" s="283"/>
      <c r="J24" s="283"/>
      <c r="K24" s="283"/>
      <c r="L24" s="283"/>
      <c r="M24" s="283"/>
      <c r="N24" s="283"/>
      <c r="V24" s="27"/>
      <c r="W24" s="27"/>
      <c r="X24" s="27"/>
      <c r="Y24" s="27"/>
    </row>
    <row r="25" spans="4:25" ht="15" customHeight="1" x14ac:dyDescent="0.2">
      <c r="D25" s="170" t="s">
        <v>1703</v>
      </c>
      <c r="G25" s="237">
        <v>30</v>
      </c>
      <c r="H25" s="49" t="s">
        <v>1929</v>
      </c>
      <c r="I25" s="283"/>
      <c r="J25" s="283"/>
      <c r="K25" s="283"/>
      <c r="L25" s="283"/>
      <c r="M25" s="283"/>
      <c r="N25" s="283"/>
      <c r="V25" s="27"/>
      <c r="W25" s="27"/>
      <c r="X25" s="27"/>
      <c r="Y25" s="27"/>
    </row>
    <row r="26" spans="4:25" ht="15" customHeight="1" x14ac:dyDescent="0.2">
      <c r="D26" s="281"/>
      <c r="G26" s="5">
        <v>7</v>
      </c>
      <c r="H26" s="49" t="s">
        <v>1934</v>
      </c>
      <c r="I26" s="272"/>
      <c r="J26" s="272"/>
    </row>
    <row r="27" spans="4:25" ht="15" customHeight="1" x14ac:dyDescent="0.2">
      <c r="D27" s="281"/>
      <c r="G27" s="281"/>
      <c r="H27" s="283"/>
      <c r="I27" s="283"/>
      <c r="J27" s="283"/>
    </row>
    <row r="28" spans="4:25" ht="15" customHeight="1" x14ac:dyDescent="0.2">
      <c r="D28" s="273" t="s">
        <v>565</v>
      </c>
      <c r="E28" s="171"/>
      <c r="F28" s="273"/>
      <c r="G28" s="9">
        <v>80</v>
      </c>
      <c r="H28" s="273" t="s">
        <v>341</v>
      </c>
      <c r="I28" s="283"/>
      <c r="J28" s="283"/>
    </row>
    <row r="29" spans="4:25" ht="15" customHeight="1" x14ac:dyDescent="0.2">
      <c r="D29" s="281"/>
      <c r="E29" s="281"/>
      <c r="F29" s="281"/>
      <c r="G29" s="281"/>
      <c r="H29" s="275"/>
      <c r="I29" s="281"/>
      <c r="J29" s="281"/>
      <c r="K29" s="213"/>
      <c r="L29" s="213"/>
    </row>
    <row r="30" spans="4:25" ht="15" customHeight="1" x14ac:dyDescent="0.2">
      <c r="D30" s="273" t="s">
        <v>1708</v>
      </c>
      <c r="E30" s="283"/>
      <c r="G30" s="286">
        <f>IF((G26*(60-G25)/G28)&gt;0,G26*(60-G25)/G28,0)</f>
        <v>2.625</v>
      </c>
      <c r="H30" s="273" t="s">
        <v>1878</v>
      </c>
      <c r="I30" s="281"/>
      <c r="J30" s="281"/>
      <c r="K30" s="281"/>
      <c r="L30" s="281"/>
      <c r="M30" s="213"/>
      <c r="N30" s="213"/>
    </row>
    <row r="31" spans="4:25" ht="15" customHeight="1" x14ac:dyDescent="0.2">
      <c r="D31" s="275"/>
      <c r="E31" s="281"/>
      <c r="F31" s="281"/>
      <c r="G31" s="281"/>
      <c r="H31" s="283"/>
      <c r="I31" s="283"/>
      <c r="J31" s="283"/>
      <c r="K31" s="281"/>
      <c r="L31" s="281"/>
      <c r="M31" s="281"/>
      <c r="N31" s="281"/>
    </row>
    <row r="32" spans="4:25" ht="15" customHeight="1" x14ac:dyDescent="0.2">
      <c r="D32" s="169"/>
      <c r="H32" s="272"/>
      <c r="K32" s="281"/>
      <c r="L32" s="281"/>
      <c r="M32" s="281"/>
      <c r="N32" s="281"/>
    </row>
    <row r="33" spans="4:14" ht="15" customHeight="1" x14ac:dyDescent="0.2">
      <c r="D33" s="275"/>
      <c r="E33" s="224"/>
      <c r="F33" s="280"/>
      <c r="K33" s="321"/>
      <c r="L33" s="321"/>
      <c r="M33" s="60"/>
      <c r="N33" s="60"/>
    </row>
    <row r="34" spans="4:14" ht="15" customHeight="1" x14ac:dyDescent="0.2">
      <c r="E34" s="213"/>
      <c r="F34" s="213"/>
      <c r="G34" s="213"/>
      <c r="H34" s="272"/>
      <c r="I34" s="213"/>
      <c r="J34" s="213"/>
      <c r="K34" s="60"/>
      <c r="L34" s="60"/>
      <c r="M34" s="60"/>
      <c r="N34" s="60"/>
    </row>
    <row r="35" spans="4:14" ht="15" customHeight="1" x14ac:dyDescent="0.2">
      <c r="D35" s="275"/>
      <c r="E35" s="281"/>
      <c r="F35" s="281"/>
      <c r="G35" s="281"/>
      <c r="H35" s="281"/>
      <c r="I35" s="281"/>
      <c r="J35" s="281"/>
      <c r="K35" s="60"/>
      <c r="L35" s="60"/>
    </row>
    <row r="36" spans="4:14" ht="15" customHeight="1" x14ac:dyDescent="0.2">
      <c r="D36" s="275"/>
      <c r="E36" s="281"/>
      <c r="F36" s="281"/>
      <c r="G36" s="281"/>
      <c r="H36" s="281"/>
      <c r="I36" s="281"/>
      <c r="J36" s="281"/>
      <c r="K36" s="60"/>
      <c r="L36" s="60"/>
      <c r="M36" s="60"/>
      <c r="N36" s="60"/>
    </row>
    <row r="37" spans="4:14" ht="15" customHeight="1" x14ac:dyDescent="0.2">
      <c r="D37" s="275"/>
      <c r="E37" s="281"/>
      <c r="F37" s="281"/>
      <c r="G37" s="281"/>
      <c r="H37" s="281"/>
      <c r="I37" s="281"/>
      <c r="J37" s="281"/>
      <c r="K37" s="60"/>
      <c r="L37" s="60"/>
      <c r="M37" s="60"/>
      <c r="N37" s="60"/>
    </row>
    <row r="38" spans="4:14" ht="15" customHeight="1" x14ac:dyDescent="0.2">
      <c r="D38" s="321"/>
      <c r="E38" s="321"/>
      <c r="F38" s="321"/>
      <c r="G38" s="321"/>
      <c r="H38" s="321"/>
      <c r="I38" s="321"/>
      <c r="J38" s="321"/>
      <c r="K38" s="60"/>
      <c r="L38" s="60"/>
      <c r="M38" s="60"/>
      <c r="N38" s="60"/>
    </row>
    <row r="39" spans="4:14" ht="15" customHeight="1" x14ac:dyDescent="0.2">
      <c r="D39" s="267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4:14" s="60" customFormat="1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4:14" s="60" customFormat="1" ht="15" customHeight="1" x14ac:dyDescent="0.2">
      <c r="D41" s="267"/>
      <c r="L41" s="266"/>
      <c r="M41" s="266"/>
      <c r="N41" s="266"/>
    </row>
    <row r="42" spans="4:14" s="60" customFormat="1" ht="15" hidden="1" customHeight="1" x14ac:dyDescent="0.2">
      <c r="D42" s="267"/>
      <c r="L42" s="266"/>
      <c r="M42" s="266"/>
      <c r="N42" s="266"/>
    </row>
    <row r="43" spans="4:14" ht="15" hidden="1" customHeight="1" x14ac:dyDescent="0.2">
      <c r="D43" s="60"/>
      <c r="E43" s="267"/>
      <c r="F43" s="267"/>
      <c r="G43" s="60"/>
      <c r="H43" s="60"/>
      <c r="I43" s="60"/>
      <c r="J43" s="60"/>
    </row>
    <row r="44" spans="4:14" ht="15" hidden="1" customHeight="1" x14ac:dyDescent="0.2">
      <c r="D44" s="60"/>
      <c r="E44" s="267"/>
      <c r="F44" s="267"/>
      <c r="G44" s="60"/>
      <c r="H44" s="60"/>
      <c r="I44" s="60"/>
      <c r="J44" s="60"/>
    </row>
    <row r="45" spans="4:14" ht="15" hidden="1" customHeight="1" x14ac:dyDescent="0.2">
      <c r="D45" s="60"/>
      <c r="E45" s="267"/>
      <c r="F45" s="267"/>
      <c r="G45" s="60"/>
      <c r="H45" s="60"/>
      <c r="I45" s="60"/>
      <c r="J45" s="60"/>
    </row>
    <row r="46" spans="4:14" ht="15" hidden="1" customHeight="1" x14ac:dyDescent="0.2">
      <c r="D46" s="60"/>
      <c r="H46" s="60"/>
      <c r="I46" s="60"/>
      <c r="J46" s="60"/>
    </row>
    <row r="47" spans="4:14" ht="15" hidden="1" customHeight="1" x14ac:dyDescent="0.2"/>
    <row r="48" spans="4:14" ht="15" hidden="1" customHeight="1" x14ac:dyDescent="0.2"/>
  </sheetData>
  <sheetProtection algorithmName="SHA-512" hashValue="RgdB383rFx5dq1Oa+e3DZfrFqesQxjpM8qYYJgoqkNSxyNCDCZNI8CTlsTT8dwYHAiseZVSMoAhTqCabA6TGcw==" saltValue="K3NbZTLNrku72l9U4TFEYQ==" spinCount="100000" sheet="1" objects="1" scenarios="1" selectLockedCells="1"/>
  <mergeCells count="3">
    <mergeCell ref="C6:N6"/>
    <mergeCell ref="E8:M8"/>
    <mergeCell ref="E40:F4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2">
    <pageSetUpPr fitToPage="1"/>
  </sheetPr>
  <dimension ref="A1:X4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2075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N8" s="235"/>
    </row>
    <row r="9" spans="1:16" ht="15" customHeight="1" x14ac:dyDescent="0.2"/>
    <row r="10" spans="1:16" ht="15" customHeight="1" x14ac:dyDescent="0.2">
      <c r="D10" s="266" t="s">
        <v>671</v>
      </c>
      <c r="G10" s="237">
        <v>6</v>
      </c>
      <c r="H10" s="170" t="s">
        <v>2070</v>
      </c>
      <c r="I10" s="237">
        <v>3</v>
      </c>
      <c r="J10" s="298" t="s">
        <v>2069</v>
      </c>
      <c r="K10" s="310">
        <f>10000/(G10*I10)</f>
        <v>555.55555555555554</v>
      </c>
      <c r="L10" s="281" t="s">
        <v>353</v>
      </c>
    </row>
    <row r="11" spans="1:16" ht="15" customHeight="1" x14ac:dyDescent="0.2">
      <c r="H11" s="49"/>
    </row>
    <row r="12" spans="1:16" ht="15" customHeight="1" x14ac:dyDescent="0.2">
      <c r="D12" s="266" t="s">
        <v>655</v>
      </c>
      <c r="E12" s="60"/>
      <c r="G12" s="237">
        <v>15</v>
      </c>
      <c r="H12" s="49" t="s">
        <v>349</v>
      </c>
    </row>
    <row r="13" spans="1:16" ht="15" customHeight="1" x14ac:dyDescent="0.2">
      <c r="H13" s="49"/>
    </row>
    <row r="14" spans="1:16" s="60" customFormat="1" ht="15" customHeight="1" x14ac:dyDescent="0.2">
      <c r="D14" s="49" t="s">
        <v>1703</v>
      </c>
      <c r="E14" s="34"/>
      <c r="F14" s="34"/>
      <c r="G14" s="237">
        <v>10</v>
      </c>
      <c r="H14" s="49" t="s">
        <v>1953</v>
      </c>
      <c r="I14" s="263"/>
      <c r="J14" s="27"/>
      <c r="K14" s="27"/>
      <c r="L14" s="27"/>
      <c r="M14" s="266"/>
      <c r="N14" s="266"/>
    </row>
    <row r="15" spans="1:16" s="60" customFormat="1" ht="15" customHeight="1" x14ac:dyDescent="0.2">
      <c r="D15" s="266"/>
      <c r="E15" s="266"/>
      <c r="F15" s="266"/>
      <c r="G15" s="237">
        <v>150</v>
      </c>
      <c r="H15" s="49" t="s">
        <v>1933</v>
      </c>
      <c r="I15" s="263"/>
      <c r="J15" s="27"/>
      <c r="K15" s="27"/>
      <c r="L15" s="27"/>
      <c r="M15" s="266"/>
      <c r="N15" s="266"/>
    </row>
    <row r="16" spans="1:16" s="60" customFormat="1" ht="15" customHeight="1" x14ac:dyDescent="0.2">
      <c r="G16" s="237">
        <v>20</v>
      </c>
      <c r="H16" s="49" t="s">
        <v>1929</v>
      </c>
      <c r="I16" s="281"/>
      <c r="J16" s="266"/>
      <c r="K16" s="266"/>
      <c r="L16" s="266"/>
      <c r="M16" s="266"/>
      <c r="N16" s="266"/>
    </row>
    <row r="17" spans="4:24" s="60" customFormat="1" ht="15" customHeight="1" x14ac:dyDescent="0.2">
      <c r="D17" s="266"/>
      <c r="G17" s="5">
        <v>7</v>
      </c>
      <c r="H17" s="49" t="s">
        <v>1934</v>
      </c>
      <c r="I17" s="281"/>
      <c r="J17" s="266"/>
      <c r="K17" s="266"/>
      <c r="L17" s="266"/>
      <c r="M17" s="266"/>
      <c r="N17" s="266"/>
    </row>
    <row r="18" spans="4:24" s="60" customFormat="1" ht="15" customHeight="1" x14ac:dyDescent="0.2">
      <c r="D18" s="266"/>
      <c r="I18" s="266"/>
      <c r="J18" s="266"/>
      <c r="K18" s="266"/>
      <c r="L18" s="266"/>
      <c r="M18" s="266"/>
      <c r="N18" s="266"/>
    </row>
    <row r="19" spans="4:24" s="60" customFormat="1" ht="15" customHeight="1" x14ac:dyDescent="0.2">
      <c r="D19" s="273" t="s">
        <v>565</v>
      </c>
      <c r="E19" s="263"/>
      <c r="F19" s="266"/>
      <c r="G19" s="237">
        <v>80</v>
      </c>
      <c r="H19" s="49" t="s">
        <v>341</v>
      </c>
      <c r="I19" s="266"/>
      <c r="J19" s="266"/>
      <c r="K19" s="266"/>
      <c r="L19" s="266"/>
      <c r="M19" s="266"/>
      <c r="N19" s="266"/>
    </row>
    <row r="20" spans="4:24" s="60" customFormat="1" ht="15" customHeight="1" x14ac:dyDescent="0.2">
      <c r="I20" s="266"/>
      <c r="J20" s="266"/>
      <c r="K20" s="266"/>
      <c r="L20" s="266"/>
      <c r="M20" s="266"/>
      <c r="N20" s="266"/>
    </row>
    <row r="21" spans="4:24" ht="15" customHeight="1" x14ac:dyDescent="0.25">
      <c r="D21" s="164" t="s">
        <v>371</v>
      </c>
      <c r="E21" s="224"/>
      <c r="F21" s="280"/>
      <c r="K21" s="281"/>
      <c r="L21" s="281"/>
      <c r="M21" s="281"/>
      <c r="N21" s="281"/>
    </row>
    <row r="22" spans="4:24" ht="15" customHeight="1" x14ac:dyDescent="0.2">
      <c r="D22" s="277" t="s">
        <v>573</v>
      </c>
      <c r="E22" s="281"/>
      <c r="F22" s="281"/>
      <c r="G22" s="281"/>
      <c r="H22" s="283"/>
      <c r="I22" s="283"/>
      <c r="J22" s="283"/>
      <c r="K22" s="283"/>
      <c r="L22" s="283"/>
      <c r="M22" s="283"/>
      <c r="N22" s="283"/>
    </row>
    <row r="23" spans="4:24" ht="15" customHeight="1" x14ac:dyDescent="0.2">
      <c r="D23" s="273" t="s">
        <v>1708</v>
      </c>
      <c r="G23" s="286">
        <f>IF((G17*(60-G16)/G19)&gt;0,G17*(60-G16)/G19,0)</f>
        <v>3.5</v>
      </c>
      <c r="H23" s="280" t="s">
        <v>1246</v>
      </c>
      <c r="I23" s="283"/>
      <c r="J23" s="283"/>
      <c r="K23" s="281"/>
      <c r="L23" s="281"/>
      <c r="M23" s="281"/>
      <c r="N23" s="281"/>
    </row>
    <row r="24" spans="4:24" ht="15" customHeight="1" x14ac:dyDescent="0.2"/>
    <row r="25" spans="4:24" ht="15" customHeight="1" x14ac:dyDescent="0.2">
      <c r="D25" s="169" t="s">
        <v>2062</v>
      </c>
      <c r="I25" s="272"/>
      <c r="J25" s="272"/>
    </row>
    <row r="26" spans="4:24" ht="15" customHeight="1" x14ac:dyDescent="0.2">
      <c r="D26" s="281"/>
      <c r="F26" s="225" t="s">
        <v>637</v>
      </c>
      <c r="G26" s="224">
        <f>1000*((W26*5)/K10)</f>
        <v>720</v>
      </c>
      <c r="H26" s="273" t="s">
        <v>558</v>
      </c>
      <c r="I26" s="169" t="s">
        <v>1140</v>
      </c>
      <c r="J26" s="283"/>
      <c r="W26" s="279" t="str">
        <f>IF(G14&lt;10,"100",IF(AND(G14&gt;=10,G14&lt;20),"80",IF(AND(G14&gt;=20,G14&lt;50),"40",0)))</f>
        <v>80</v>
      </c>
      <c r="X26" s="27" t="s">
        <v>651</v>
      </c>
    </row>
    <row r="27" spans="4:24" ht="15" customHeight="1" x14ac:dyDescent="0.2">
      <c r="D27" s="281"/>
      <c r="E27" s="281"/>
      <c r="F27" s="226" t="s">
        <v>1139</v>
      </c>
      <c r="G27" s="276">
        <f>1000*((W27*5)/K10)/3</f>
        <v>420</v>
      </c>
      <c r="H27" s="273" t="s">
        <v>558</v>
      </c>
      <c r="I27" s="277" t="str">
        <f>IF(G15&lt;60,"20-00-30",IF(AND(G15&gt;=60,G15&lt;120),"20-00-20",IF(AND(G15&gt;=120,G15&lt;200),"20-00-15",IF(AND(G15&gt;=200,G15&lt;280),"20-00-10","Sulfato de Amônio"))))</f>
        <v>20-00-15</v>
      </c>
      <c r="J27" s="281"/>
      <c r="K27" s="213"/>
      <c r="L27" s="213"/>
      <c r="M27" s="213"/>
      <c r="N27" s="213"/>
      <c r="W27" s="208">
        <f>IF(G12&lt;10,90,IF(AND(G12&gt;=10,G12&lt;20),140,180))</f>
        <v>140</v>
      </c>
      <c r="X27" s="27" t="s">
        <v>652</v>
      </c>
    </row>
    <row r="28" spans="4:24" ht="15" customHeight="1" x14ac:dyDescent="0.2">
      <c r="E28" s="283"/>
      <c r="I28" s="281"/>
      <c r="J28" s="281"/>
      <c r="K28" s="281"/>
      <c r="L28" s="281"/>
      <c r="M28" s="281"/>
      <c r="N28" s="281"/>
      <c r="W28" s="27"/>
      <c r="X28" s="27"/>
    </row>
    <row r="29" spans="4:24" ht="15" customHeight="1" x14ac:dyDescent="0.2">
      <c r="D29" s="275"/>
      <c r="E29" s="281"/>
      <c r="F29" s="281"/>
      <c r="G29" s="281"/>
      <c r="H29" s="283"/>
      <c r="I29" s="283"/>
      <c r="J29" s="283"/>
      <c r="K29" s="281"/>
      <c r="L29" s="281"/>
      <c r="M29" s="281"/>
      <c r="N29" s="281"/>
    </row>
    <row r="30" spans="4:24" ht="15" customHeight="1" x14ac:dyDescent="0.2">
      <c r="D30" s="275"/>
      <c r="E30" s="220"/>
      <c r="F30" s="280"/>
      <c r="G30" s="281"/>
      <c r="H30" s="281"/>
      <c r="I30" s="281"/>
      <c r="J30" s="281"/>
      <c r="K30" s="281"/>
      <c r="L30" s="281"/>
      <c r="M30" s="281"/>
      <c r="N30" s="281"/>
    </row>
    <row r="31" spans="4:24" ht="15" customHeight="1" x14ac:dyDescent="0.2">
      <c r="D31" s="169"/>
      <c r="H31" s="272"/>
      <c r="K31" s="321"/>
      <c r="L31" s="321"/>
      <c r="M31" s="281"/>
      <c r="N31" s="281"/>
    </row>
    <row r="32" spans="4:24" ht="15" customHeight="1" x14ac:dyDescent="0.2">
      <c r="D32" s="169"/>
      <c r="H32" s="272"/>
      <c r="K32" s="60"/>
      <c r="L32" s="60"/>
      <c r="M32" s="60"/>
      <c r="N32" s="60"/>
    </row>
    <row r="33" spans="2:14" ht="15" customHeight="1" x14ac:dyDescent="0.2">
      <c r="D33" s="275"/>
      <c r="E33" s="224"/>
      <c r="F33" s="280"/>
      <c r="K33" s="60"/>
      <c r="L33" s="60"/>
      <c r="M33" s="60"/>
      <c r="N33" s="60"/>
    </row>
    <row r="34" spans="2:14" ht="15" customHeight="1" x14ac:dyDescent="0.2">
      <c r="E34" s="213"/>
      <c r="F34" s="213"/>
      <c r="G34" s="213"/>
      <c r="H34" s="272"/>
      <c r="I34" s="213"/>
      <c r="J34" s="213"/>
    </row>
    <row r="35" spans="2:14" ht="15" customHeight="1" x14ac:dyDescent="0.2">
      <c r="D35" s="275"/>
      <c r="E35" s="281"/>
      <c r="F35" s="281"/>
      <c r="G35" s="281"/>
      <c r="H35" s="281"/>
      <c r="I35" s="281"/>
      <c r="J35" s="281"/>
      <c r="K35" s="60"/>
      <c r="L35" s="60"/>
      <c r="M35" s="60"/>
      <c r="N35" s="60"/>
    </row>
    <row r="36" spans="2:14" ht="15" customHeight="1" x14ac:dyDescent="0.2">
      <c r="D36" s="275"/>
      <c r="E36" s="281"/>
      <c r="F36" s="281"/>
      <c r="G36" s="281"/>
      <c r="H36" s="281"/>
      <c r="I36" s="281"/>
      <c r="J36" s="281"/>
      <c r="K36" s="60"/>
      <c r="L36" s="60"/>
      <c r="M36" s="60"/>
      <c r="N36" s="60"/>
    </row>
    <row r="37" spans="2:14" s="60" customFormat="1" ht="15" customHeight="1" x14ac:dyDescent="0.2">
      <c r="D37" s="226" t="s">
        <v>891</v>
      </c>
      <c r="E37" s="717">
        <f ca="1">TODAY()</f>
        <v>45064</v>
      </c>
      <c r="F37" s="714"/>
      <c r="G37" s="60" t="s">
        <v>373</v>
      </c>
      <c r="L37" s="266"/>
      <c r="M37" s="266"/>
      <c r="N37" s="266"/>
    </row>
    <row r="38" spans="2:14" s="60" customFormat="1" ht="15" customHeight="1" x14ac:dyDescent="0.2">
      <c r="D38" s="267"/>
      <c r="L38" s="266"/>
      <c r="M38" s="266"/>
      <c r="N38" s="266"/>
    </row>
    <row r="39" spans="2:14" s="60" customFormat="1" ht="15" hidden="1" customHeight="1" x14ac:dyDescent="0.2">
      <c r="D39" s="267"/>
      <c r="K39" s="266"/>
      <c r="L39" s="266"/>
      <c r="M39" s="266"/>
      <c r="N39" s="266"/>
    </row>
    <row r="40" spans="2:14" s="60" customFormat="1" ht="15" hidden="1" customHeight="1" x14ac:dyDescent="0.2">
      <c r="D40" s="267"/>
      <c r="K40" s="266"/>
      <c r="L40" s="266"/>
      <c r="M40" s="266"/>
      <c r="N40" s="266"/>
    </row>
    <row r="41" spans="2:14" s="60" customFormat="1" ht="15" hidden="1" customHeight="1" x14ac:dyDescent="0.2">
      <c r="D41" s="267"/>
      <c r="K41" s="266"/>
      <c r="L41" s="266"/>
      <c r="M41" s="266"/>
      <c r="N41" s="266"/>
    </row>
    <row r="42" spans="2:14" s="60" customFormat="1" ht="15" hidden="1" customHeight="1" x14ac:dyDescent="0.2">
      <c r="D42" s="267"/>
      <c r="I42" s="33"/>
      <c r="K42" s="266"/>
      <c r="L42" s="266"/>
      <c r="M42" s="266"/>
      <c r="N42" s="266"/>
    </row>
    <row r="43" spans="2:14" ht="15" hidden="1" customHeight="1" x14ac:dyDescent="0.2">
      <c r="D43" s="60"/>
      <c r="E43" s="267"/>
      <c r="F43" s="267"/>
      <c r="G43" s="60"/>
      <c r="H43" s="60"/>
      <c r="I43" s="60"/>
      <c r="J43" s="60"/>
    </row>
    <row r="44" spans="2:14" ht="15" hidden="1" customHeight="1" x14ac:dyDescent="0.2">
      <c r="D44" s="60"/>
      <c r="E44" s="267"/>
      <c r="F44" s="267"/>
      <c r="G44" s="60"/>
      <c r="H44" s="60"/>
      <c r="I44" s="60"/>
      <c r="J44" s="60"/>
    </row>
    <row r="45" spans="2:14" ht="15" hidden="1" customHeight="1" x14ac:dyDescent="0.2">
      <c r="D45" s="60"/>
      <c r="E45" s="267"/>
      <c r="F45" s="267"/>
      <c r="G45" s="60"/>
      <c r="H45" s="60"/>
      <c r="I45" s="60"/>
      <c r="J45" s="60"/>
    </row>
    <row r="46" spans="2:14" ht="15" hidden="1" customHeight="1" x14ac:dyDescent="0.2">
      <c r="B46" s="60"/>
      <c r="C46" s="267"/>
      <c r="D46" s="267"/>
      <c r="E46" s="60"/>
      <c r="F46" s="60"/>
      <c r="G46" s="60"/>
      <c r="H46" s="60"/>
      <c r="I46" s="60"/>
    </row>
    <row r="47" spans="2:14" ht="15" hidden="1" customHeight="1" x14ac:dyDescent="0.2">
      <c r="B47" s="60"/>
      <c r="F47" s="60"/>
      <c r="G47" s="60"/>
      <c r="H47" s="60"/>
      <c r="I47" s="60"/>
    </row>
  </sheetData>
  <sheetProtection algorithmName="SHA-512" hashValue="rNMlu8yqIZaWYqfQDIz2cVLWYH0VWF442B24e5i52C1uy4WMEFL9XSx8WKeuaDA82eABdIe+FbDvZmK2HPULeA==" saltValue="MCRdXkGPujCV+UyWe5kv4w==" spinCount="100000" sheet="1" objects="1" scenarios="1" selectLockedCells="1"/>
  <mergeCells count="3">
    <mergeCell ref="C6:N6"/>
    <mergeCell ref="E8:M8"/>
    <mergeCell ref="E37:F37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colBreaks count="1" manualBreakCount="1">
    <brk id="9" max="1048575" man="1"/>
  </colBreaks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3">
    <pageSetUpPr fitToPage="1"/>
  </sheetPr>
  <dimension ref="A1:P13"/>
  <sheetViews>
    <sheetView showGridLines="0" showRowColHeaders="0" workbookViewId="0"/>
  </sheetViews>
  <sheetFormatPr defaultColWidth="0" defaultRowHeight="24.95" customHeight="1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2065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31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HYPERLINK("#"&amp;"'Nespera1a2'!H1","Formação - 1 a 2 anos")</f>
        <v>Formação - 1 a 2 anos</v>
      </c>
      <c r="G10" s="711"/>
      <c r="H10" s="711"/>
      <c r="I10" s="711"/>
      <c r="J10" s="711"/>
      <c r="K10" s="37"/>
    </row>
    <row r="11" spans="1:16" ht="24.95" customHeight="1" thickTop="1" thickBot="1" x14ac:dyDescent="0.25">
      <c r="F11" s="711" t="str">
        <f>HYPERLINK("#"&amp;"'Nespera3a4'!H1","Formação - 3 a 4 anos")</f>
        <v>Formação - 3 a 4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HYPERLINK("#"&amp;"'NesperaProd'!H1","Produção (5° ano em diante)")</f>
        <v>Produção (5° ano em diante)</v>
      </c>
      <c r="G12" s="711"/>
      <c r="H12" s="711"/>
      <c r="I12" s="711"/>
      <c r="J12" s="711"/>
    </row>
    <row r="13" spans="1:16" ht="24.95" customHeight="1" thickTop="1" x14ac:dyDescent="0.2">
      <c r="D13" s="36"/>
    </row>
  </sheetData>
  <sheetProtection algorithmName="SHA-512" hashValue="pACBYFB2n1MNwUdCb2J0FHiUpReCDvDdRbAkSfVMaBFvLyS8vPtNGs/jb1epQh3Kk9JjNayYONnsEstBg5NaEg==" saltValue="JD0Rv5aq1861WcQdW7B9GA==" spinCount="100000" sheet="1" objects="1" scenarios="1"/>
  <mergeCells count="6">
    <mergeCell ref="F9:J9"/>
    <mergeCell ref="F10:J10"/>
    <mergeCell ref="F11:J11"/>
    <mergeCell ref="F12:J12"/>
    <mergeCell ref="C6:N6"/>
    <mergeCell ref="F8:J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0" orientation="portrait" cellComments="atEnd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5">
    <pageSetUpPr fitToPage="1"/>
  </sheetPr>
  <dimension ref="A1:X4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2067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16" ht="15" customHeight="1" x14ac:dyDescent="0.2">
      <c r="C8" s="235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N8" s="235"/>
    </row>
    <row r="9" spans="1:16" ht="15" customHeight="1" x14ac:dyDescent="0.2"/>
    <row r="10" spans="1:16" ht="15" customHeight="1" x14ac:dyDescent="0.25">
      <c r="D10" s="164" t="s">
        <v>1858</v>
      </c>
      <c r="E10" s="34"/>
      <c r="F10" s="34"/>
    </row>
    <row r="11" spans="1:16" ht="15" customHeight="1" x14ac:dyDescent="0.2">
      <c r="E11" s="49" t="s">
        <v>2071</v>
      </c>
    </row>
    <row r="12" spans="1:16" ht="15" customHeight="1" x14ac:dyDescent="0.2">
      <c r="E12" s="49" t="s">
        <v>2010</v>
      </c>
    </row>
    <row r="13" spans="1:16" ht="15" customHeight="1" x14ac:dyDescent="0.2">
      <c r="E13" s="49" t="s">
        <v>2072</v>
      </c>
    </row>
    <row r="14" spans="1:16" ht="15" customHeight="1" x14ac:dyDescent="0.2"/>
    <row r="15" spans="1:16" s="60" customFormat="1" ht="15" customHeight="1" x14ac:dyDescent="0.25">
      <c r="D15" s="164" t="s">
        <v>1940</v>
      </c>
      <c r="E15" s="34"/>
      <c r="F15" s="266"/>
      <c r="G15" s="266"/>
      <c r="H15" s="266"/>
      <c r="I15" s="266"/>
      <c r="J15" s="266"/>
      <c r="K15" s="266"/>
      <c r="L15" s="266"/>
      <c r="M15" s="266"/>
    </row>
    <row r="16" spans="1:16" s="60" customFormat="1" ht="15" customHeight="1" x14ac:dyDescent="0.2">
      <c r="D16" s="49" t="s">
        <v>1703</v>
      </c>
      <c r="G16" s="237">
        <v>4</v>
      </c>
      <c r="H16" s="49" t="s">
        <v>1953</v>
      </c>
      <c r="I16" s="266"/>
      <c r="J16" s="266"/>
      <c r="K16" s="266"/>
      <c r="L16" s="266"/>
      <c r="M16" s="266"/>
    </row>
    <row r="17" spans="4:24" s="60" customFormat="1" ht="15" customHeight="1" x14ac:dyDescent="0.2">
      <c r="D17" s="266"/>
      <c r="G17" s="237">
        <v>150</v>
      </c>
      <c r="H17" s="49" t="s">
        <v>1933</v>
      </c>
      <c r="I17" s="266"/>
      <c r="J17" s="266"/>
      <c r="K17" s="266"/>
      <c r="L17" s="266"/>
      <c r="M17" s="266"/>
    </row>
    <row r="18" spans="4:24" s="60" customFormat="1" ht="15" customHeight="1" x14ac:dyDescent="0.2">
      <c r="D18" s="266"/>
      <c r="E18" s="266"/>
      <c r="F18" s="266"/>
      <c r="G18" s="266"/>
      <c r="H18" s="266"/>
      <c r="I18" s="266"/>
      <c r="J18" s="266"/>
      <c r="K18" s="266"/>
      <c r="M18" s="266"/>
      <c r="N18" s="266"/>
    </row>
    <row r="19" spans="4:24" s="60" customFormat="1" ht="15" customHeight="1" x14ac:dyDescent="0.2">
      <c r="F19" s="225" t="s">
        <v>637</v>
      </c>
      <c r="G19" s="224">
        <f>W19*5</f>
        <v>500</v>
      </c>
      <c r="H19" s="171" t="s">
        <v>558</v>
      </c>
      <c r="I19" s="169" t="s">
        <v>1140</v>
      </c>
      <c r="J19" s="266"/>
      <c r="K19" s="266"/>
      <c r="W19" s="279" t="str">
        <f>IF(G16&lt;10,"100",IF(AND(G16&gt;=10,G16&lt;20),"80",IF(AND(G16&gt;=20,G16&lt;50),"40",0)))</f>
        <v>100</v>
      </c>
      <c r="X19" s="27" t="s">
        <v>653</v>
      </c>
    </row>
    <row r="20" spans="4:24" s="60" customFormat="1" ht="15" customHeight="1" x14ac:dyDescent="0.2">
      <c r="F20" s="226" t="s">
        <v>1139</v>
      </c>
      <c r="G20" s="276">
        <f>(W20*5)/3</f>
        <v>166.66666666666666</v>
      </c>
      <c r="H20" s="171" t="s">
        <v>558</v>
      </c>
      <c r="I20" s="277" t="str">
        <f>IF(G17&lt;60,"20-00-30",IF(AND(G17&gt;=60,G17&lt;120),"20-00-20",IF(AND(G17&gt;=120,G17&lt;200),"20-00-15",IF(AND(G17&gt;=200,G17&lt;280),"20-00-10","Sulfato de Amônio"))))</f>
        <v>20-00-15</v>
      </c>
      <c r="J20" s="266"/>
      <c r="K20" s="266"/>
      <c r="W20" s="208">
        <v>100</v>
      </c>
      <c r="X20" s="27" t="s">
        <v>654</v>
      </c>
    </row>
    <row r="21" spans="4:24" s="60" customFormat="1" ht="15" customHeight="1" x14ac:dyDescent="0.2">
      <c r="D21" s="266"/>
      <c r="E21" s="266"/>
      <c r="F21" s="225"/>
      <c r="G21" s="266"/>
      <c r="H21" s="266"/>
      <c r="I21" s="279"/>
      <c r="J21" s="266"/>
      <c r="K21" s="266"/>
      <c r="M21" s="266"/>
      <c r="N21" s="266"/>
    </row>
    <row r="22" spans="4:24" ht="15" customHeight="1" x14ac:dyDescent="0.25">
      <c r="D22" s="282" t="s">
        <v>1941</v>
      </c>
      <c r="E22" s="281"/>
      <c r="F22" s="281"/>
      <c r="G22" s="281"/>
      <c r="H22" s="283"/>
      <c r="I22" s="283"/>
      <c r="J22" s="283"/>
      <c r="K22" s="283"/>
      <c r="L22" s="283"/>
      <c r="M22" s="283"/>
    </row>
    <row r="23" spans="4:24" ht="15" customHeight="1" x14ac:dyDescent="0.2">
      <c r="D23" s="170" t="s">
        <v>1703</v>
      </c>
      <c r="G23" s="237">
        <v>20</v>
      </c>
      <c r="H23" s="49" t="s">
        <v>1929</v>
      </c>
      <c r="I23" s="281"/>
      <c r="J23" s="283"/>
      <c r="K23" s="263"/>
      <c r="L23" s="283"/>
      <c r="M23" s="283"/>
    </row>
    <row r="24" spans="4:24" ht="15" customHeight="1" x14ac:dyDescent="0.2">
      <c r="D24" s="281"/>
      <c r="G24" s="5">
        <v>7</v>
      </c>
      <c r="H24" s="49" t="s">
        <v>1934</v>
      </c>
      <c r="I24" s="281"/>
      <c r="J24" s="272"/>
      <c r="K24" s="272"/>
    </row>
    <row r="25" spans="4:24" ht="15" customHeight="1" x14ac:dyDescent="0.2">
      <c r="H25" s="283"/>
      <c r="I25" s="283"/>
      <c r="J25" s="283"/>
      <c r="K25" s="263"/>
    </row>
    <row r="26" spans="4:24" ht="15" customHeight="1" x14ac:dyDescent="0.2">
      <c r="D26" s="273" t="s">
        <v>340</v>
      </c>
      <c r="G26" s="237">
        <v>80</v>
      </c>
      <c r="H26" s="273" t="s">
        <v>341</v>
      </c>
      <c r="I26" s="281"/>
      <c r="J26" s="281"/>
      <c r="K26" s="281"/>
    </row>
    <row r="27" spans="4:24" ht="15" customHeight="1" x14ac:dyDescent="0.2">
      <c r="D27" s="273"/>
      <c r="G27" s="263"/>
      <c r="H27" s="273"/>
      <c r="I27" s="281"/>
      <c r="J27" s="281"/>
      <c r="K27" s="281"/>
    </row>
    <row r="28" spans="4:24" ht="15" customHeight="1" x14ac:dyDescent="0.2">
      <c r="D28" s="273" t="s">
        <v>1708</v>
      </c>
      <c r="E28" s="283"/>
      <c r="G28" s="286">
        <f>IF((G24*(60-G23)/G26)&gt;0,(G24*(60-G23)/G26),0)</f>
        <v>3.5</v>
      </c>
      <c r="H28" s="280" t="s">
        <v>1878</v>
      </c>
      <c r="I28" s="281"/>
      <c r="J28" s="281"/>
      <c r="K28" s="281"/>
    </row>
    <row r="29" spans="4:24" ht="15" customHeight="1" x14ac:dyDescent="0.2">
      <c r="D29" s="275"/>
      <c r="E29" s="281"/>
      <c r="F29" s="281"/>
      <c r="G29" s="281"/>
      <c r="H29" s="283"/>
      <c r="I29" s="283"/>
      <c r="J29" s="283"/>
      <c r="K29" s="283"/>
      <c r="L29" s="283"/>
      <c r="M29" s="220"/>
    </row>
    <row r="30" spans="4:24" ht="15" customHeight="1" x14ac:dyDescent="0.2">
      <c r="D30" s="169"/>
      <c r="H30" s="272"/>
      <c r="M30" s="281"/>
    </row>
    <row r="31" spans="4:24" ht="15" customHeight="1" x14ac:dyDescent="0.2">
      <c r="D31" s="275"/>
      <c r="E31" s="224"/>
      <c r="F31" s="280"/>
    </row>
    <row r="32" spans="4:24" ht="15" customHeight="1" x14ac:dyDescent="0.2">
      <c r="E32" s="213"/>
      <c r="F32" s="213"/>
      <c r="G32" s="213"/>
      <c r="H32" s="272"/>
      <c r="I32" s="213"/>
      <c r="J32" s="213"/>
      <c r="K32" s="213"/>
      <c r="L32" s="213"/>
      <c r="M32" s="213"/>
    </row>
    <row r="33" spans="2:13" ht="15" customHeight="1" x14ac:dyDescent="0.2">
      <c r="D33" s="275"/>
      <c r="E33" s="281"/>
      <c r="F33" s="281"/>
      <c r="G33" s="281"/>
      <c r="H33" s="281"/>
      <c r="I33" s="281"/>
      <c r="J33" s="281"/>
      <c r="K33" s="281"/>
      <c r="L33" s="281"/>
      <c r="M33" s="281"/>
    </row>
    <row r="34" spans="2:13" ht="15" customHeight="1" x14ac:dyDescent="0.2">
      <c r="D34" s="275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2:13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60"/>
    </row>
    <row r="36" spans="2:13" ht="15" customHeight="1" x14ac:dyDescent="0.2">
      <c r="D36" s="267"/>
      <c r="E36" s="267"/>
      <c r="F36" s="267"/>
      <c r="G36" s="267"/>
      <c r="H36" s="267"/>
      <c r="I36" s="267"/>
      <c r="J36" s="267"/>
      <c r="K36" s="267"/>
      <c r="L36" s="267"/>
      <c r="M36" s="60"/>
    </row>
    <row r="37" spans="2:13" ht="15" customHeight="1" x14ac:dyDescent="0.2">
      <c r="D37" s="267"/>
      <c r="E37" s="60"/>
      <c r="F37" s="60"/>
      <c r="G37" s="60"/>
      <c r="H37" s="60"/>
      <c r="I37" s="60"/>
      <c r="J37" s="60"/>
      <c r="K37" s="60"/>
      <c r="L37" s="60"/>
      <c r="M37" s="60"/>
    </row>
    <row r="38" spans="2:13" ht="15" customHeight="1" x14ac:dyDescent="0.2">
      <c r="D38" s="267"/>
      <c r="E38" s="60"/>
      <c r="F38" s="60"/>
      <c r="G38" s="60"/>
      <c r="H38" s="60"/>
      <c r="I38" s="60"/>
      <c r="J38" s="60"/>
      <c r="K38" s="60"/>
      <c r="L38" s="60"/>
      <c r="M38" s="60"/>
    </row>
    <row r="39" spans="2:13" ht="15" customHeight="1" x14ac:dyDescent="0.2"/>
    <row r="40" spans="2:13" s="60" customFormat="1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2:13" s="60" customFormat="1" ht="15" customHeight="1" x14ac:dyDescent="0.2">
      <c r="D41" s="267"/>
    </row>
    <row r="42" spans="2:13" s="60" customFormat="1" ht="15" customHeight="1" x14ac:dyDescent="0.2">
      <c r="D42" s="267"/>
      <c r="H42" s="859"/>
      <c r="I42" s="859"/>
      <c r="J42" s="859"/>
      <c r="K42" s="859"/>
    </row>
    <row r="43" spans="2:13" s="60" customFormat="1" ht="15" hidden="1" customHeight="1" x14ac:dyDescent="0.2">
      <c r="D43" s="267"/>
    </row>
    <row r="44" spans="2:13" s="60" customFormat="1" ht="15" hidden="1" customHeight="1" x14ac:dyDescent="0.2">
      <c r="D44" s="267"/>
    </row>
    <row r="45" spans="2:13" ht="15" hidden="1" customHeight="1" x14ac:dyDescent="0.2">
      <c r="B45" s="60"/>
      <c r="C45" s="267"/>
      <c r="D45" s="267"/>
      <c r="E45" s="60"/>
      <c r="F45" s="60"/>
      <c r="G45" s="60"/>
      <c r="H45" s="60"/>
      <c r="I45" s="60"/>
    </row>
    <row r="46" spans="2:13" ht="15" hidden="1" customHeight="1" x14ac:dyDescent="0.2">
      <c r="B46" s="60"/>
      <c r="C46" s="267"/>
      <c r="D46" s="267"/>
      <c r="E46" s="60"/>
      <c r="F46" s="60"/>
      <c r="G46" s="60"/>
      <c r="H46" s="60"/>
      <c r="I46" s="60"/>
    </row>
    <row r="47" spans="2:13" ht="15" hidden="1" customHeight="1" x14ac:dyDescent="0.2">
      <c r="B47" s="60"/>
      <c r="F47" s="60"/>
      <c r="G47" s="60"/>
      <c r="H47" s="60"/>
      <c r="I47" s="60"/>
    </row>
  </sheetData>
  <sheetProtection algorithmName="SHA-512" hashValue="dRm71ITyuM62B/Aqf01aHgJZAGQyRCvDLQYmLSZh5V14HttA9/bWLw2QUanDcqrYS8g8pcpCzmM/Ku+X3spOfg==" saltValue="e7IkLBlEbKjAXryehdrQ7g==" spinCount="100000" sheet="1" objects="1" scenarios="1" selectLockedCells="1"/>
  <mergeCells count="4">
    <mergeCell ref="C6:N6"/>
    <mergeCell ref="E8:M8"/>
    <mergeCell ref="E40:F40"/>
    <mergeCell ref="H42:K42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6">
    <pageSetUpPr fitToPage="1"/>
  </sheetPr>
  <dimension ref="A1:Y46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2068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25" ht="15" customHeight="1" x14ac:dyDescent="0.2">
      <c r="C8" s="235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N8" s="235"/>
    </row>
    <row r="9" spans="1:25" s="164" customFormat="1" ht="15" customHeight="1" x14ac:dyDescent="0.25">
      <c r="B9" s="322"/>
      <c r="C9" s="322"/>
      <c r="D9" s="322"/>
      <c r="E9" s="322"/>
      <c r="F9" s="322"/>
    </row>
    <row r="10" spans="1:25" s="60" customFormat="1" ht="15" customHeight="1" x14ac:dyDescent="0.25">
      <c r="C10" s="34"/>
      <c r="D10" s="164" t="s">
        <v>1951</v>
      </c>
      <c r="E10" s="266"/>
      <c r="F10" s="266"/>
      <c r="G10" s="266"/>
      <c r="H10" s="266"/>
      <c r="I10" s="266"/>
      <c r="J10" s="266"/>
      <c r="K10" s="266"/>
    </row>
    <row r="11" spans="1:25" s="60" customFormat="1" ht="15" customHeight="1" x14ac:dyDescent="0.2">
      <c r="D11" s="49" t="s">
        <v>1703</v>
      </c>
      <c r="G11" s="237">
        <v>8</v>
      </c>
      <c r="H11" s="49" t="s">
        <v>1953</v>
      </c>
      <c r="I11" s="271"/>
      <c r="J11" s="266"/>
      <c r="K11" s="266"/>
      <c r="L11" s="266"/>
      <c r="M11" s="266"/>
    </row>
    <row r="12" spans="1:25" s="60" customFormat="1" ht="15" customHeight="1" x14ac:dyDescent="0.2">
      <c r="D12" s="266"/>
      <c r="G12" s="237">
        <v>150</v>
      </c>
      <c r="H12" s="49" t="s">
        <v>1933</v>
      </c>
      <c r="I12" s="271"/>
      <c r="J12" s="266"/>
      <c r="V12" s="27"/>
      <c r="W12" s="27"/>
      <c r="X12" s="27"/>
      <c r="Y12" s="296"/>
    </row>
    <row r="13" spans="1:25" s="60" customFormat="1" ht="15" customHeight="1" x14ac:dyDescent="0.2">
      <c r="D13" s="266"/>
      <c r="E13" s="266"/>
      <c r="F13" s="266"/>
      <c r="G13" s="266"/>
      <c r="H13" s="49"/>
      <c r="I13" s="266"/>
      <c r="J13" s="266"/>
      <c r="V13" s="27"/>
      <c r="W13" s="27"/>
      <c r="X13" s="27"/>
      <c r="Y13" s="296"/>
    </row>
    <row r="14" spans="1:25" s="60" customFormat="1" ht="15" customHeight="1" x14ac:dyDescent="0.2">
      <c r="F14" s="225" t="s">
        <v>637</v>
      </c>
      <c r="G14" s="224">
        <f>W14*5</f>
        <v>750</v>
      </c>
      <c r="H14" s="171" t="s">
        <v>558</v>
      </c>
      <c r="I14" s="169" t="s">
        <v>1140</v>
      </c>
      <c r="J14" s="266"/>
      <c r="V14" s="27"/>
      <c r="W14" s="279" t="str">
        <f>IF(G11&lt;10,"150",IF(AND(G11&gt;=10,G11&lt;20),"100",IF(AND(G11&gt;=20,G11&lt;50),"80",0)))</f>
        <v>150</v>
      </c>
      <c r="X14" s="27" t="s">
        <v>653</v>
      </c>
      <c r="Y14" s="296"/>
    </row>
    <row r="15" spans="1:25" s="60" customFormat="1" ht="15" customHeight="1" x14ac:dyDescent="0.2">
      <c r="F15" s="226" t="s">
        <v>1139</v>
      </c>
      <c r="G15" s="276">
        <f>(W15*5)/3</f>
        <v>333.33333333333331</v>
      </c>
      <c r="H15" s="171" t="s">
        <v>558</v>
      </c>
      <c r="I15" s="277" t="str">
        <f>IF(G12&lt;60,"20-00-30",IF(AND(G12&gt;=60,G12&lt;120),"20-00-20",IF(AND(G12&gt;=120,G12&lt;200),"20-00-15",IF(AND(G12&gt;=200,G12&lt;280),"20-00-10","Sulfato de Amônio"))))</f>
        <v>20-00-15</v>
      </c>
      <c r="J15" s="266"/>
      <c r="V15" s="27"/>
      <c r="W15" s="208">
        <v>200</v>
      </c>
      <c r="X15" s="27" t="s">
        <v>654</v>
      </c>
      <c r="Y15" s="296"/>
    </row>
    <row r="16" spans="1:25" s="60" customFormat="1" ht="15" customHeight="1" x14ac:dyDescent="0.2">
      <c r="D16" s="266"/>
      <c r="E16" s="266"/>
      <c r="F16" s="266"/>
      <c r="G16" s="266"/>
      <c r="H16" s="49"/>
      <c r="I16" s="279"/>
      <c r="J16" s="266"/>
      <c r="V16" s="27"/>
      <c r="W16" s="27"/>
      <c r="X16" s="27"/>
      <c r="Y16" s="296"/>
    </row>
    <row r="17" spans="4:25" s="60" customFormat="1" ht="15" customHeight="1" x14ac:dyDescent="0.25">
      <c r="D17" s="164" t="s">
        <v>1952</v>
      </c>
      <c r="E17" s="34"/>
      <c r="F17" s="266"/>
      <c r="G17" s="266"/>
      <c r="H17" s="171"/>
      <c r="I17" s="263"/>
      <c r="J17" s="27"/>
      <c r="V17" s="27"/>
      <c r="W17" s="27"/>
      <c r="X17" s="27"/>
      <c r="Y17" s="296"/>
    </row>
    <row r="18" spans="4:25" s="60" customFormat="1" ht="15" customHeight="1" x14ac:dyDescent="0.2">
      <c r="D18" s="49" t="s">
        <v>1703</v>
      </c>
      <c r="G18" s="237">
        <v>5</v>
      </c>
      <c r="H18" s="49" t="s">
        <v>1953</v>
      </c>
      <c r="I18" s="266"/>
      <c r="J18" s="266"/>
      <c r="K18" s="266"/>
      <c r="L18" s="266"/>
      <c r="M18" s="266"/>
    </row>
    <row r="19" spans="4:25" s="60" customFormat="1" ht="15" customHeight="1" x14ac:dyDescent="0.2">
      <c r="F19" s="266"/>
      <c r="G19" s="237">
        <v>150</v>
      </c>
      <c r="H19" s="49" t="s">
        <v>1933</v>
      </c>
      <c r="I19" s="266"/>
      <c r="J19" s="266"/>
      <c r="K19" s="266"/>
      <c r="L19" s="266"/>
      <c r="M19" s="266"/>
    </row>
    <row r="20" spans="4:25" s="60" customFormat="1" ht="15" customHeight="1" x14ac:dyDescent="0.2">
      <c r="D20" s="266"/>
      <c r="E20" s="266"/>
      <c r="F20" s="266"/>
      <c r="G20" s="266"/>
      <c r="H20" s="49"/>
      <c r="I20" s="266"/>
      <c r="J20" s="266"/>
      <c r="K20" s="266"/>
      <c r="L20" s="266"/>
      <c r="M20" s="266"/>
      <c r="V20" s="296"/>
      <c r="W20" s="296"/>
      <c r="X20" s="296"/>
      <c r="Y20" s="296"/>
    </row>
    <row r="21" spans="4:25" s="60" customFormat="1" ht="15" customHeight="1" x14ac:dyDescent="0.2">
      <c r="F21" s="225" t="s">
        <v>637</v>
      </c>
      <c r="G21" s="224">
        <f>W21*5</f>
        <v>1000</v>
      </c>
      <c r="H21" s="171" t="s">
        <v>558</v>
      </c>
      <c r="I21" s="169" t="s">
        <v>1140</v>
      </c>
      <c r="J21" s="266"/>
      <c r="K21" s="266"/>
      <c r="V21" s="296"/>
      <c r="W21" s="279" t="str">
        <f>IF(G18&lt;10,"200",IF(AND(G18&gt;=10,G18&lt;20),"150",IF(AND(G18&gt;=20,G18&lt;50),"100",0)))</f>
        <v>200</v>
      </c>
      <c r="X21" s="27" t="s">
        <v>653</v>
      </c>
      <c r="Y21" s="296"/>
    </row>
    <row r="22" spans="4:25" s="60" customFormat="1" ht="15" customHeight="1" x14ac:dyDescent="0.2">
      <c r="F22" s="226" t="s">
        <v>1139</v>
      </c>
      <c r="G22" s="276">
        <f>((W22*100)/20)/3</f>
        <v>500</v>
      </c>
      <c r="H22" s="171" t="s">
        <v>558</v>
      </c>
      <c r="I22" s="277" t="str">
        <f>IF(G19&lt;60,"20-00-30",IF(AND(G19&gt;=60,G19&lt;120),"20-00-20",IF(AND(G19&gt;=120,G19&lt;200),"20-00-15",IF(AND(G19&gt;=200,G19&lt;280),"20-00-10","Sulfato de Amônio"))))</f>
        <v>20-00-15</v>
      </c>
      <c r="J22" s="266"/>
      <c r="K22" s="266"/>
      <c r="V22" s="296"/>
      <c r="W22" s="208">
        <v>300</v>
      </c>
      <c r="X22" s="27" t="s">
        <v>654</v>
      </c>
      <c r="Y22" s="296"/>
    </row>
    <row r="23" spans="4:25" s="60" customFormat="1" ht="15" customHeight="1" x14ac:dyDescent="0.2">
      <c r="D23" s="266"/>
      <c r="E23" s="266"/>
      <c r="F23" s="266"/>
      <c r="G23" s="266"/>
      <c r="H23" s="49"/>
      <c r="I23" s="279"/>
      <c r="J23" s="266"/>
      <c r="K23" s="266"/>
      <c r="L23" s="266"/>
      <c r="M23" s="266"/>
      <c r="V23" s="296"/>
      <c r="W23" s="296"/>
      <c r="X23" s="296"/>
      <c r="Y23" s="296"/>
    </row>
    <row r="24" spans="4:25" ht="15" customHeight="1" x14ac:dyDescent="0.25">
      <c r="D24" s="282" t="s">
        <v>1941</v>
      </c>
      <c r="E24" s="281"/>
      <c r="F24" s="281"/>
      <c r="G24" s="281"/>
      <c r="H24" s="273"/>
      <c r="I24" s="283"/>
      <c r="J24" s="283"/>
      <c r="K24" s="283"/>
      <c r="L24" s="283"/>
      <c r="M24" s="283"/>
      <c r="N24" s="27"/>
    </row>
    <row r="25" spans="4:25" ht="15" customHeight="1" x14ac:dyDescent="0.2">
      <c r="D25" s="170" t="s">
        <v>1703</v>
      </c>
      <c r="G25" s="237">
        <v>20</v>
      </c>
      <c r="H25" s="49" t="s">
        <v>1929</v>
      </c>
      <c r="I25" s="283"/>
      <c r="J25" s="283"/>
      <c r="K25" s="263"/>
      <c r="L25" s="283"/>
      <c r="M25" s="283"/>
      <c r="N25" s="27"/>
    </row>
    <row r="26" spans="4:25" ht="15" customHeight="1" x14ac:dyDescent="0.2">
      <c r="D26" s="281"/>
      <c r="G26" s="5">
        <v>7</v>
      </c>
      <c r="H26" s="49" t="s">
        <v>1934</v>
      </c>
      <c r="I26" s="272"/>
      <c r="J26" s="272"/>
      <c r="K26" s="272"/>
      <c r="L26" s="283"/>
      <c r="M26" s="220"/>
      <c r="N26" s="27"/>
    </row>
    <row r="27" spans="4:25" ht="15" customHeight="1" x14ac:dyDescent="0.2">
      <c r="D27" s="281"/>
      <c r="G27" s="208"/>
      <c r="H27" s="273"/>
      <c r="I27" s="272"/>
      <c r="J27" s="272"/>
      <c r="K27" s="272"/>
      <c r="L27" s="283"/>
      <c r="M27" s="220"/>
      <c r="N27" s="27"/>
    </row>
    <row r="28" spans="4:25" ht="15" customHeight="1" x14ac:dyDescent="0.2">
      <c r="D28" s="273" t="s">
        <v>340</v>
      </c>
      <c r="G28" s="237">
        <v>80</v>
      </c>
      <c r="H28" s="49" t="s">
        <v>341</v>
      </c>
      <c r="I28" s="283"/>
      <c r="J28" s="283"/>
      <c r="K28" s="263"/>
      <c r="L28" s="283"/>
      <c r="M28" s="289"/>
      <c r="N28" s="27"/>
    </row>
    <row r="29" spans="4:25" ht="15" customHeight="1" x14ac:dyDescent="0.2">
      <c r="D29" s="273"/>
      <c r="F29" s="27"/>
      <c r="G29" s="263"/>
      <c r="H29" s="26"/>
      <c r="I29" s="283"/>
      <c r="J29" s="283"/>
      <c r="K29" s="263"/>
      <c r="L29" s="283"/>
      <c r="M29" s="289"/>
      <c r="N29" s="27"/>
    </row>
    <row r="30" spans="4:25" ht="15" customHeight="1" x14ac:dyDescent="0.2">
      <c r="D30" s="273" t="s">
        <v>1708</v>
      </c>
      <c r="E30" s="283"/>
      <c r="G30" s="286">
        <f>IF((G26*(60-G25)/G28)&gt;0, G26*(60-G25)/G28,0)</f>
        <v>3.5</v>
      </c>
      <c r="H30" s="273" t="s">
        <v>1877</v>
      </c>
      <c r="I30" s="281"/>
      <c r="J30" s="281"/>
      <c r="K30" s="281"/>
      <c r="L30" s="281"/>
      <c r="M30" s="281"/>
    </row>
    <row r="31" spans="4:25" ht="15" customHeight="1" x14ac:dyDescent="0.2">
      <c r="D31" s="275"/>
      <c r="E31" s="281"/>
      <c r="F31" s="281"/>
      <c r="G31" s="281"/>
      <c r="H31" s="273"/>
      <c r="I31" s="283"/>
      <c r="J31" s="283"/>
      <c r="K31" s="283"/>
      <c r="L31" s="283"/>
      <c r="M31" s="283"/>
    </row>
    <row r="32" spans="4:25" ht="15" customHeight="1" x14ac:dyDescent="0.2">
      <c r="D32" s="169"/>
      <c r="H32" s="272"/>
    </row>
    <row r="33" spans="2:13" ht="15" customHeight="1" x14ac:dyDescent="0.2">
      <c r="D33" s="275"/>
      <c r="E33" s="224"/>
      <c r="F33" s="280"/>
    </row>
    <row r="34" spans="2:13" ht="15" customHeight="1" x14ac:dyDescent="0.2">
      <c r="E34" s="213"/>
      <c r="F34" s="213"/>
      <c r="G34" s="213"/>
      <c r="H34" s="272"/>
      <c r="I34" s="213"/>
      <c r="J34" s="213"/>
      <c r="K34" s="213"/>
      <c r="L34" s="213"/>
    </row>
    <row r="35" spans="2:13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213"/>
    </row>
    <row r="36" spans="2:13" ht="15" customHeight="1" x14ac:dyDescent="0.2">
      <c r="D36" s="275"/>
      <c r="E36" s="281"/>
      <c r="F36" s="281"/>
      <c r="G36" s="281"/>
      <c r="H36" s="281"/>
      <c r="I36" s="281"/>
      <c r="J36" s="281"/>
      <c r="K36" s="281"/>
      <c r="L36" s="281"/>
      <c r="M36" s="281"/>
    </row>
    <row r="37" spans="2:13" ht="15" customHeight="1" x14ac:dyDescent="0.2">
      <c r="D37" s="275"/>
      <c r="E37" s="281"/>
      <c r="F37" s="281"/>
      <c r="G37" s="281"/>
      <c r="H37" s="281"/>
      <c r="I37" s="281"/>
      <c r="J37" s="281"/>
      <c r="K37" s="281"/>
      <c r="L37" s="281"/>
      <c r="M37" s="281"/>
    </row>
    <row r="38" spans="2:13" ht="15" customHeight="1" x14ac:dyDescent="0.2">
      <c r="D38" s="267"/>
      <c r="E38" s="267"/>
      <c r="F38" s="267"/>
      <c r="G38" s="267"/>
      <c r="H38" s="267"/>
      <c r="I38" s="267"/>
      <c r="J38" s="267"/>
      <c r="K38" s="267"/>
      <c r="L38" s="267"/>
      <c r="M38" s="60"/>
    </row>
    <row r="39" spans="2:13" ht="15" customHeight="1" x14ac:dyDescent="0.2">
      <c r="D39" s="267"/>
      <c r="E39" s="60"/>
      <c r="F39" s="60"/>
      <c r="G39" s="60"/>
      <c r="H39" s="60"/>
      <c r="I39" s="60"/>
      <c r="J39" s="60"/>
      <c r="K39" s="60"/>
      <c r="L39" s="60"/>
      <c r="M39" s="60"/>
    </row>
    <row r="40" spans="2:13" s="60" customFormat="1" ht="15" customHeight="1" x14ac:dyDescent="0.2">
      <c r="D40" s="226" t="s">
        <v>891</v>
      </c>
      <c r="E40" s="717">
        <f ca="1">TODAY()</f>
        <v>45064</v>
      </c>
      <c r="F40" s="714"/>
      <c r="G40" s="60" t="s">
        <v>373</v>
      </c>
    </row>
    <row r="41" spans="2:13" s="60" customFormat="1" ht="15" customHeight="1" x14ac:dyDescent="0.2">
      <c r="D41" s="267"/>
      <c r="H41" s="859"/>
      <c r="I41" s="859"/>
      <c r="J41" s="859"/>
      <c r="K41" s="859"/>
    </row>
    <row r="42" spans="2:13" s="60" customFormat="1" ht="15" customHeight="1" x14ac:dyDescent="0.2">
      <c r="B42" s="267"/>
    </row>
    <row r="43" spans="2:13" ht="15" hidden="1" customHeight="1" x14ac:dyDescent="0.2">
      <c r="B43" s="60"/>
      <c r="C43" s="267"/>
      <c r="D43" s="267"/>
      <c r="E43" s="60"/>
      <c r="F43" s="60"/>
      <c r="G43" s="60"/>
      <c r="H43" s="60"/>
      <c r="I43" s="60"/>
    </row>
    <row r="44" spans="2:13" ht="15" hidden="1" customHeight="1" x14ac:dyDescent="0.2">
      <c r="B44" s="60"/>
      <c r="C44" s="267"/>
      <c r="D44" s="267"/>
      <c r="E44" s="60"/>
      <c r="F44" s="60"/>
      <c r="G44" s="60"/>
      <c r="H44" s="60"/>
      <c r="I44" s="60"/>
    </row>
    <row r="45" spans="2:13" ht="15" hidden="1" customHeight="1" x14ac:dyDescent="0.2">
      <c r="B45" s="60"/>
      <c r="C45" s="267"/>
      <c r="D45" s="267"/>
      <c r="E45" s="60"/>
      <c r="F45" s="60"/>
      <c r="G45" s="60"/>
      <c r="H45" s="60"/>
      <c r="I45" s="60"/>
    </row>
    <row r="46" spans="2:13" ht="15" hidden="1" customHeight="1" x14ac:dyDescent="0.2">
      <c r="B46" s="60"/>
      <c r="F46" s="60"/>
      <c r="G46" s="60"/>
      <c r="H46" s="60"/>
      <c r="I46" s="60"/>
    </row>
  </sheetData>
  <sheetProtection algorithmName="SHA-512" hashValue="1j3Dk2tLADd2AVyAFv5xU59sYWvbEOWcTAkKX2fXbZDPVkbJu75gOmkNUI0iQH4SarQAE2ZCRtaLreGgASreaw==" saltValue="O+taKjDvSyzrQ5BKZbSvsQ==" spinCount="100000" sheet="1" objects="1" scenarios="1" selectLockedCells="1"/>
  <mergeCells count="4">
    <mergeCell ref="E8:M8"/>
    <mergeCell ref="C6:N6"/>
    <mergeCell ref="E40:F40"/>
    <mergeCell ref="H41:K4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7">
    <pageSetUpPr fitToPage="1"/>
  </sheetPr>
  <dimension ref="A1:Y44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2074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16" s="164" customFormat="1" ht="15" customHeight="1" x14ac:dyDescent="0.25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s="164" customFormat="1" ht="15" customHeight="1" x14ac:dyDescent="0.25">
      <c r="D9" s="322"/>
      <c r="E9" s="322"/>
      <c r="F9" s="322"/>
      <c r="G9" s="322"/>
      <c r="H9" s="322"/>
    </row>
    <row r="10" spans="1:16" ht="15" customHeight="1" x14ac:dyDescent="0.2">
      <c r="D10" s="49" t="s">
        <v>792</v>
      </c>
      <c r="G10" s="237">
        <v>8</v>
      </c>
      <c r="H10" s="298" t="s">
        <v>2070</v>
      </c>
      <c r="I10" s="237">
        <v>6</v>
      </c>
      <c r="J10" s="298" t="s">
        <v>2069</v>
      </c>
      <c r="K10" s="310">
        <f>10000/(G10*I10)</f>
        <v>208.33333333333334</v>
      </c>
      <c r="L10" s="281" t="s">
        <v>353</v>
      </c>
    </row>
    <row r="11" spans="1:16" ht="15" customHeight="1" x14ac:dyDescent="0.2">
      <c r="H11" s="49"/>
    </row>
    <row r="12" spans="1:16" s="60" customFormat="1" ht="15" customHeight="1" x14ac:dyDescent="0.2">
      <c r="D12" s="266" t="s">
        <v>655</v>
      </c>
      <c r="G12" s="237">
        <v>10</v>
      </c>
      <c r="H12" s="49" t="s">
        <v>349</v>
      </c>
      <c r="I12" s="266"/>
      <c r="J12" s="266"/>
      <c r="K12" s="266"/>
      <c r="L12" s="266"/>
      <c r="M12" s="266"/>
    </row>
    <row r="13" spans="1:16" s="60" customFormat="1" ht="15" customHeight="1" x14ac:dyDescent="0.2">
      <c r="D13" s="266"/>
      <c r="E13" s="266"/>
      <c r="F13" s="266"/>
      <c r="G13" s="266"/>
      <c r="H13" s="171"/>
      <c r="I13" s="263"/>
      <c r="J13" s="27"/>
      <c r="K13" s="27"/>
      <c r="L13" s="27"/>
      <c r="M13" s="266"/>
    </row>
    <row r="14" spans="1:16" s="60" customFormat="1" ht="15" customHeight="1" x14ac:dyDescent="0.2">
      <c r="D14" s="49" t="s">
        <v>1703</v>
      </c>
      <c r="G14" s="237">
        <v>5</v>
      </c>
      <c r="H14" s="49" t="s">
        <v>1953</v>
      </c>
      <c r="I14" s="271"/>
      <c r="J14" s="266"/>
      <c r="K14" s="266"/>
      <c r="M14" s="266"/>
    </row>
    <row r="15" spans="1:16" s="60" customFormat="1" ht="15" customHeight="1" x14ac:dyDescent="0.2">
      <c r="D15" s="266"/>
      <c r="G15" s="237">
        <v>150</v>
      </c>
      <c r="H15" s="49" t="s">
        <v>1933</v>
      </c>
      <c r="I15" s="271"/>
      <c r="J15" s="266"/>
      <c r="K15" s="266"/>
      <c r="M15" s="266"/>
    </row>
    <row r="16" spans="1:16" s="60" customFormat="1" ht="15" customHeight="1" x14ac:dyDescent="0.2">
      <c r="D16" s="266"/>
      <c r="E16" s="263"/>
      <c r="F16" s="266"/>
      <c r="G16" s="237">
        <v>20</v>
      </c>
      <c r="H16" s="49" t="s">
        <v>1929</v>
      </c>
      <c r="I16" s="281"/>
      <c r="J16" s="283"/>
      <c r="K16" s="266"/>
      <c r="M16" s="266"/>
    </row>
    <row r="17" spans="4:25" s="60" customFormat="1" ht="15" customHeight="1" x14ac:dyDescent="0.2">
      <c r="D17" s="266"/>
      <c r="E17" s="263"/>
      <c r="F17" s="266"/>
      <c r="G17" s="5">
        <v>7</v>
      </c>
      <c r="H17" s="49" t="s">
        <v>1934</v>
      </c>
      <c r="I17" s="281"/>
      <c r="J17" s="272"/>
      <c r="K17" s="266"/>
      <c r="M17" s="266"/>
    </row>
    <row r="18" spans="4:25" s="60" customFormat="1" ht="15" customHeight="1" x14ac:dyDescent="0.2">
      <c r="E18" s="263"/>
      <c r="F18" s="266"/>
      <c r="G18" s="271"/>
      <c r="H18" s="49"/>
      <c r="I18" s="266"/>
      <c r="J18" s="266"/>
      <c r="K18" s="266"/>
      <c r="M18" s="266"/>
    </row>
    <row r="19" spans="4:25" s="60" customFormat="1" ht="15" customHeight="1" x14ac:dyDescent="0.2">
      <c r="D19" s="273" t="s">
        <v>340</v>
      </c>
      <c r="E19" s="263"/>
      <c r="F19" s="266"/>
      <c r="G19" s="237">
        <v>80</v>
      </c>
      <c r="H19" s="49" t="s">
        <v>341</v>
      </c>
      <c r="I19" s="266"/>
      <c r="J19" s="266"/>
      <c r="K19" s="266"/>
      <c r="L19" s="266"/>
      <c r="M19" s="266"/>
      <c r="U19" s="296"/>
      <c r="V19" s="296"/>
      <c r="W19" s="296"/>
      <c r="X19" s="296"/>
      <c r="Y19" s="296"/>
    </row>
    <row r="20" spans="4:25" s="60" customFormat="1" ht="15" customHeight="1" x14ac:dyDescent="0.2">
      <c r="D20" s="266"/>
      <c r="E20" s="263"/>
      <c r="F20" s="266"/>
      <c r="G20" s="271"/>
      <c r="H20" s="49"/>
      <c r="I20" s="266"/>
      <c r="J20" s="266"/>
      <c r="K20" s="266"/>
      <c r="L20" s="266"/>
      <c r="M20" s="266"/>
      <c r="U20" s="296"/>
      <c r="V20" s="296"/>
      <c r="W20" s="296"/>
      <c r="X20" s="296"/>
      <c r="Y20" s="296"/>
    </row>
    <row r="21" spans="4:25" s="60" customFormat="1" ht="15" customHeight="1" x14ac:dyDescent="0.25">
      <c r="D21" s="164" t="s">
        <v>371</v>
      </c>
      <c r="E21" s="266"/>
      <c r="F21" s="266"/>
      <c r="G21" s="266"/>
      <c r="H21" s="49"/>
      <c r="I21" s="266"/>
      <c r="J21" s="266"/>
      <c r="K21" s="266"/>
      <c r="L21" s="266"/>
      <c r="M21" s="266"/>
      <c r="U21" s="296"/>
      <c r="V21" s="296"/>
      <c r="W21" s="296"/>
      <c r="X21" s="296"/>
      <c r="Y21" s="296"/>
    </row>
    <row r="22" spans="4:25" s="60" customFormat="1" ht="15" customHeight="1" x14ac:dyDescent="0.2">
      <c r="D22" s="277" t="s">
        <v>573</v>
      </c>
      <c r="H22" s="298"/>
      <c r="J22" s="266"/>
      <c r="K22" s="266"/>
      <c r="L22" s="266"/>
      <c r="M22" s="266"/>
      <c r="U22" s="296"/>
      <c r="V22" s="296"/>
      <c r="W22" s="296"/>
      <c r="X22" s="296"/>
      <c r="Y22" s="296"/>
    </row>
    <row r="23" spans="4:25" s="60" customFormat="1" ht="15" customHeight="1" x14ac:dyDescent="0.2">
      <c r="D23" s="273" t="s">
        <v>1708</v>
      </c>
      <c r="E23" s="266"/>
      <c r="F23" s="266"/>
      <c r="G23" s="286">
        <f>IF((G17*(60-G16)/G19)&gt;0, G17*(60-G16)/G19,0)</f>
        <v>3.5</v>
      </c>
      <c r="H23" s="273" t="s">
        <v>1877</v>
      </c>
      <c r="I23" s="266"/>
      <c r="J23" s="266"/>
      <c r="K23" s="266"/>
      <c r="L23" s="266"/>
      <c r="M23" s="266"/>
      <c r="U23" s="296"/>
      <c r="V23" s="296"/>
      <c r="W23" s="296"/>
      <c r="X23" s="296"/>
      <c r="Y23" s="296"/>
    </row>
    <row r="24" spans="4:25" s="60" customFormat="1" ht="15" customHeight="1" x14ac:dyDescent="0.25">
      <c r="D24" s="164"/>
      <c r="E24" s="266"/>
      <c r="F24" s="266"/>
      <c r="G24" s="266"/>
      <c r="H24" s="49"/>
      <c r="I24" s="266"/>
      <c r="J24" s="266"/>
      <c r="K24" s="266"/>
      <c r="L24" s="266"/>
      <c r="M24" s="266"/>
      <c r="U24" s="296"/>
      <c r="V24" s="296"/>
      <c r="W24" s="296"/>
      <c r="X24" s="296"/>
      <c r="Y24" s="296"/>
    </row>
    <row r="25" spans="4:25" ht="15" customHeight="1" x14ac:dyDescent="0.2">
      <c r="D25" s="169" t="s">
        <v>2062</v>
      </c>
      <c r="H25" s="49"/>
      <c r="U25" s="27"/>
      <c r="V25" s="27"/>
      <c r="W25" s="27"/>
      <c r="X25" s="27"/>
      <c r="Y25" s="27"/>
    </row>
    <row r="26" spans="4:25" ht="15" customHeight="1" x14ac:dyDescent="0.2">
      <c r="F26" s="225" t="s">
        <v>637</v>
      </c>
      <c r="G26" s="224">
        <f>1000*((W26*5)/K10)</f>
        <v>1440</v>
      </c>
      <c r="H26" s="171" t="s">
        <v>558</v>
      </c>
      <c r="I26" s="169" t="s">
        <v>1140</v>
      </c>
      <c r="U26" s="27"/>
      <c r="V26" s="27"/>
      <c r="W26" s="279" t="str">
        <f>IF(G14&lt;10,"60",IF(AND(G14&gt;=10,G14&lt;20),"40",IF(AND(G14&gt;=20,G14&lt;50),"20",0)))</f>
        <v>60</v>
      </c>
      <c r="X26" s="27" t="s">
        <v>651</v>
      </c>
      <c r="Y26" s="27"/>
    </row>
    <row r="27" spans="4:25" ht="15" customHeight="1" x14ac:dyDescent="0.2">
      <c r="F27" s="226" t="s">
        <v>1139</v>
      </c>
      <c r="G27" s="276">
        <f>1000*((W27*5)/K10)/3</f>
        <v>719.99999999999989</v>
      </c>
      <c r="H27" s="171" t="s">
        <v>558</v>
      </c>
      <c r="I27" s="277" t="str">
        <f>IF(G15&lt;60,"20-00-30",IF(AND(G15&gt;=60,G15&lt;120),"20-00-20",IF(AND(G15&gt;=120,G15&lt;200),"20-00-15",IF(AND(G15&gt;=200,G15&lt;280),"20-00-10","Sulfato de Amônio"))))</f>
        <v>20-00-15</v>
      </c>
      <c r="U27" s="27"/>
      <c r="V27" s="27"/>
      <c r="W27" s="208">
        <f>IF(G12&lt;8,60,IF(AND(G12&gt;=8,G12&lt;12),90,120))</f>
        <v>90</v>
      </c>
      <c r="X27" s="27" t="s">
        <v>652</v>
      </c>
      <c r="Y27" s="27"/>
    </row>
    <row r="28" spans="4:25" ht="15" customHeight="1" x14ac:dyDescent="0.2">
      <c r="H28" s="49"/>
      <c r="U28" s="27"/>
      <c r="V28" s="27"/>
      <c r="W28" s="27"/>
      <c r="X28" s="27"/>
      <c r="Y28" s="27"/>
    </row>
    <row r="29" spans="4:25" ht="15" customHeight="1" x14ac:dyDescent="0.2">
      <c r="D29" s="314"/>
      <c r="E29" s="281"/>
      <c r="F29" s="281"/>
      <c r="G29" s="281"/>
      <c r="H29" s="283"/>
      <c r="I29" s="283"/>
      <c r="J29" s="283"/>
      <c r="K29" s="283"/>
      <c r="L29" s="283"/>
      <c r="M29" s="283"/>
      <c r="N29" s="27"/>
      <c r="O29" s="27"/>
      <c r="U29" s="27"/>
      <c r="V29" s="27"/>
      <c r="W29" s="27"/>
      <c r="X29" s="27"/>
      <c r="Y29" s="27"/>
    </row>
    <row r="30" spans="4:25" ht="15" customHeight="1" x14ac:dyDescent="0.2">
      <c r="D30" s="281"/>
      <c r="I30" s="283"/>
      <c r="J30" s="283"/>
      <c r="K30" s="263"/>
      <c r="L30" s="220"/>
      <c r="M30" s="27"/>
      <c r="N30" s="27"/>
      <c r="O30" s="27"/>
      <c r="U30" s="27"/>
      <c r="V30" s="27"/>
      <c r="W30" s="27"/>
      <c r="X30" s="27"/>
      <c r="Y30" s="27"/>
    </row>
    <row r="31" spans="4:25" ht="15" customHeight="1" x14ac:dyDescent="0.2">
      <c r="D31" s="281"/>
      <c r="I31" s="272"/>
      <c r="J31" s="272"/>
      <c r="K31" s="272"/>
      <c r="L31" s="283"/>
      <c r="M31" s="283"/>
      <c r="N31" s="27"/>
      <c r="O31" s="27"/>
      <c r="U31" s="27"/>
      <c r="V31" s="27"/>
      <c r="W31" s="27"/>
      <c r="X31" s="27"/>
      <c r="Y31" s="27"/>
    </row>
    <row r="32" spans="4:25" ht="15" customHeight="1" x14ac:dyDescent="0.2">
      <c r="D32" s="281"/>
      <c r="G32" s="281"/>
      <c r="H32" s="283"/>
      <c r="I32" s="283"/>
      <c r="J32" s="283"/>
      <c r="K32" s="263"/>
      <c r="L32" s="283"/>
      <c r="M32" s="283"/>
      <c r="N32" s="27"/>
      <c r="O32" s="27"/>
      <c r="U32" s="27"/>
      <c r="V32" s="27"/>
      <c r="W32" s="27"/>
      <c r="X32" s="27"/>
      <c r="Y32" s="27"/>
    </row>
    <row r="33" spans="4:15" ht="15" customHeight="1" x14ac:dyDescent="0.2">
      <c r="D33" s="281"/>
      <c r="E33" s="281"/>
      <c r="F33" s="281"/>
      <c r="G33" s="281"/>
      <c r="H33" s="275"/>
      <c r="I33" s="281"/>
      <c r="J33" s="281"/>
      <c r="K33" s="283"/>
      <c r="L33" s="283"/>
      <c r="M33" s="289"/>
      <c r="N33" s="27"/>
      <c r="O33" s="27"/>
    </row>
    <row r="34" spans="4:15" ht="15" customHeight="1" x14ac:dyDescent="0.2">
      <c r="E34" s="263"/>
      <c r="H34" s="281"/>
      <c r="I34" s="281"/>
      <c r="J34" s="281"/>
      <c r="K34" s="281"/>
      <c r="L34" s="281"/>
      <c r="M34" s="220"/>
    </row>
    <row r="35" spans="4:15" ht="15" customHeight="1" x14ac:dyDescent="0.2">
      <c r="D35" s="275"/>
      <c r="E35" s="281"/>
      <c r="F35" s="281"/>
      <c r="G35" s="281"/>
      <c r="H35" s="283"/>
      <c r="I35" s="283"/>
      <c r="J35" s="283"/>
      <c r="K35" s="283"/>
      <c r="L35" s="283"/>
      <c r="M35" s="283"/>
    </row>
    <row r="36" spans="4:15" ht="15" customHeight="1" x14ac:dyDescent="0.2">
      <c r="D36" s="275"/>
      <c r="E36" s="220"/>
      <c r="F36" s="280"/>
      <c r="G36" s="281"/>
      <c r="H36" s="281"/>
      <c r="I36" s="281"/>
      <c r="J36" s="281"/>
      <c r="K36" s="281"/>
      <c r="L36" s="281"/>
      <c r="M36" s="281"/>
    </row>
    <row r="37" spans="4:15" ht="15" customHeight="1" x14ac:dyDescent="0.2"/>
    <row r="38" spans="4:15" s="60" customFormat="1" ht="15" customHeight="1" x14ac:dyDescent="0.2">
      <c r="D38" s="226" t="s">
        <v>891</v>
      </c>
      <c r="E38" s="717">
        <f ca="1">TODAY()</f>
        <v>45064</v>
      </c>
      <c r="F38" s="714"/>
      <c r="G38" s="60" t="s">
        <v>373</v>
      </c>
    </row>
    <row r="39" spans="4:15" s="60" customFormat="1" ht="15" customHeight="1" x14ac:dyDescent="0.2">
      <c r="D39" s="267"/>
    </row>
    <row r="40" spans="4:15" s="60" customFormat="1" ht="15" customHeight="1" x14ac:dyDescent="0.2">
      <c r="D40" s="267"/>
      <c r="H40" s="859"/>
      <c r="I40" s="859"/>
      <c r="J40" s="859"/>
      <c r="K40" s="859"/>
    </row>
    <row r="41" spans="4:15" s="60" customFormat="1" ht="15" hidden="1" customHeight="1" x14ac:dyDescent="0.2">
      <c r="D41" s="267"/>
    </row>
    <row r="42" spans="4:15" s="60" customFormat="1" ht="15" hidden="1" customHeight="1" x14ac:dyDescent="0.2"/>
    <row r="43" spans="4:15" s="60" customFormat="1" ht="15" hidden="1" customHeight="1" x14ac:dyDescent="0.2"/>
    <row r="44" spans="4:15" s="60" customFormat="1" ht="15" hidden="1" customHeight="1" x14ac:dyDescent="0.2"/>
  </sheetData>
  <sheetProtection algorithmName="SHA-512" hashValue="deLENX5jN+5inZc4ToxKj5XLaAaxlCreGc8hVAgWQA9HzTINu8nNLWIhIzJEjuHDK3SimqTYtdnhENj5dwerKQ==" saltValue="Os0WuArOkgWk+kosdDpVEw==" spinCount="100000" sheet="1" objects="1" scenarios="1" selectLockedCells="1"/>
  <mergeCells count="4">
    <mergeCell ref="C6:N6"/>
    <mergeCell ref="E8:M8"/>
    <mergeCell ref="E38:F38"/>
    <mergeCell ref="H40:K4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colBreaks count="1" manualBreakCount="1">
    <brk id="9" max="1048575" man="1"/>
  </colBreaks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9">
    <pageSetUpPr fitToPage="1"/>
  </sheetPr>
  <dimension ref="A1:P38"/>
  <sheetViews>
    <sheetView showGridLines="0" showRowColHeaders="0" zoomScaleNormal="100" workbookViewId="0"/>
  </sheetViews>
  <sheetFormatPr defaultColWidth="0" defaultRowHeight="15" customHeight="1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2004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5">
      <c r="E7" s="38"/>
      <c r="F7" s="38"/>
      <c r="H7" s="38"/>
    </row>
    <row r="8" spans="1:16" ht="15" customHeight="1" x14ac:dyDescent="0.25">
      <c r="C8" s="885" t="s">
        <v>2005</v>
      </c>
      <c r="D8" s="885"/>
      <c r="E8" s="885"/>
      <c r="F8" s="885"/>
      <c r="G8" s="885"/>
      <c r="H8" s="885"/>
      <c r="I8" s="885"/>
      <c r="J8" s="885"/>
      <c r="K8" s="885"/>
      <c r="L8" s="885"/>
      <c r="M8" s="885"/>
      <c r="N8" s="885"/>
    </row>
    <row r="9" spans="1:16" ht="15" customHeight="1" x14ac:dyDescent="0.2">
      <c r="C9" s="886" t="s">
        <v>1733</v>
      </c>
      <c r="D9" s="886"/>
      <c r="E9" s="886"/>
      <c r="F9" s="886"/>
      <c r="G9" s="886"/>
      <c r="H9" s="886"/>
      <c r="I9" s="886"/>
      <c r="J9" s="886"/>
      <c r="K9" s="886"/>
      <c r="L9" s="886"/>
      <c r="M9" s="886"/>
      <c r="N9" s="886"/>
    </row>
    <row r="10" spans="1:16" ht="15" customHeight="1" thickBot="1" x14ac:dyDescent="0.25">
      <c r="C10" s="39"/>
    </row>
    <row r="11" spans="1:16" ht="24.95" customHeight="1" thickTop="1" thickBot="1" x14ac:dyDescent="0.25">
      <c r="C11" s="711" t="str">
        <f>HYPERLINK("#"&amp;"'PastoSemiForm'!h1","Semi-intensivas - Formação")</f>
        <v>Semi-intensivas - Formação</v>
      </c>
      <c r="D11" s="711"/>
      <c r="E11" s="711"/>
      <c r="F11" s="711"/>
      <c r="G11" s="711"/>
      <c r="H11" s="40"/>
      <c r="I11" s="40"/>
      <c r="J11" s="711" t="str">
        <f>HYPERLINK("#"&amp;"'PastoSemiManu'!h1","Semi-intensivas - Manutenção")</f>
        <v>Semi-intensivas - Manutenção</v>
      </c>
      <c r="K11" s="711"/>
      <c r="L11" s="711"/>
      <c r="M11" s="711"/>
      <c r="N11" s="711"/>
    </row>
    <row r="12" spans="1:16" ht="15" customHeight="1" thickTop="1" x14ac:dyDescent="0.2"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6" ht="15" customHeight="1" x14ac:dyDescent="0.25">
      <c r="C13" s="885" t="s">
        <v>2006</v>
      </c>
      <c r="D13" s="885"/>
      <c r="E13" s="885"/>
      <c r="F13" s="885"/>
      <c r="G13" s="885"/>
      <c r="H13" s="885"/>
      <c r="I13" s="885"/>
      <c r="J13" s="885"/>
      <c r="K13" s="885"/>
      <c r="L13" s="885"/>
      <c r="M13" s="885"/>
      <c r="N13" s="885"/>
    </row>
    <row r="14" spans="1:16" ht="15" customHeight="1" x14ac:dyDescent="0.2">
      <c r="C14" s="886" t="s">
        <v>1734</v>
      </c>
      <c r="D14" s="886"/>
      <c r="E14" s="886"/>
      <c r="F14" s="886"/>
      <c r="G14" s="886"/>
      <c r="H14" s="886"/>
      <c r="I14" s="886"/>
      <c r="J14" s="886"/>
      <c r="K14" s="886"/>
      <c r="L14" s="886"/>
      <c r="M14" s="886"/>
      <c r="N14" s="886"/>
    </row>
    <row r="15" spans="1:16" ht="15" customHeight="1" thickBot="1" x14ac:dyDescent="0.25">
      <c r="C15" s="39"/>
      <c r="E15" s="41"/>
      <c r="F15" s="41"/>
      <c r="G15" s="41"/>
      <c r="H15" s="41"/>
      <c r="I15" s="41"/>
      <c r="J15" s="41"/>
      <c r="K15" s="41"/>
      <c r="L15" s="41"/>
      <c r="M15" s="41"/>
    </row>
    <row r="16" spans="1:16" ht="24.95" customHeight="1" thickTop="1" thickBot="1" x14ac:dyDescent="0.25">
      <c r="C16" s="711" t="str">
        <f>HYPERLINK("#"&amp;"'PastoInteForm'!h1","Intensivas - Formação")</f>
        <v>Intensivas - Formação</v>
      </c>
      <c r="D16" s="711"/>
      <c r="E16" s="711"/>
      <c r="F16" s="711"/>
      <c r="G16" s="711"/>
      <c r="H16" s="40"/>
      <c r="I16" s="40"/>
      <c r="J16" s="711" t="str">
        <f>HYPERLINK("#"&amp;"'PastoInteManu'!h1","Intensivas - Manutenção")</f>
        <v>Intensivas - Manutenção</v>
      </c>
      <c r="K16" s="711"/>
      <c r="L16" s="711"/>
      <c r="M16" s="711"/>
      <c r="N16" s="711"/>
    </row>
    <row r="17" spans="7:9" ht="15" customHeight="1" thickTop="1" x14ac:dyDescent="0.2">
      <c r="G17" s="884"/>
      <c r="H17" s="884"/>
      <c r="I17" s="884"/>
    </row>
    <row r="18" spans="7:9" ht="15" customHeight="1" x14ac:dyDescent="0.2"/>
    <row r="19" spans="7:9" ht="15" customHeight="1" x14ac:dyDescent="0.2"/>
    <row r="20" spans="7:9" ht="15" customHeight="1" x14ac:dyDescent="0.2"/>
    <row r="21" spans="7:9" ht="15" customHeight="1" x14ac:dyDescent="0.2"/>
    <row r="22" spans="7:9" ht="15" customHeight="1" x14ac:dyDescent="0.2"/>
    <row r="23" spans="7:9" ht="15" customHeight="1" x14ac:dyDescent="0.2"/>
    <row r="24" spans="7:9" ht="15" customHeight="1" x14ac:dyDescent="0.2"/>
    <row r="25" spans="7:9" ht="15" customHeight="1" x14ac:dyDescent="0.2"/>
    <row r="26" spans="7:9" ht="15" customHeight="1" x14ac:dyDescent="0.2"/>
    <row r="27" spans="7:9" ht="15" customHeight="1" x14ac:dyDescent="0.2"/>
    <row r="28" spans="7:9" ht="15" customHeight="1" x14ac:dyDescent="0.2"/>
    <row r="29" spans="7:9" ht="15" customHeight="1" x14ac:dyDescent="0.2"/>
    <row r="30" spans="7:9" ht="15" customHeight="1" x14ac:dyDescent="0.2"/>
    <row r="31" spans="7:9" ht="15" customHeight="1" x14ac:dyDescent="0.2"/>
    <row r="32" spans="7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sheetProtection algorithmName="SHA-512" hashValue="MZzsWD7zf8iwkhW9qjdUJWzE5+ZaeZ2pv4ElFRERxXmt4PPkn8pcCchHJCOFLHlhnjheH37XL3oaRb7Tff5Jog==" saltValue="OrpfsVeLJye36CpGb0nXrw==" spinCount="100000" sheet="1" objects="1" scenarios="1"/>
  <mergeCells count="10">
    <mergeCell ref="G17:I17"/>
    <mergeCell ref="C6:N6"/>
    <mergeCell ref="J11:N11"/>
    <mergeCell ref="C11:G11"/>
    <mergeCell ref="J16:N16"/>
    <mergeCell ref="C16:G16"/>
    <mergeCell ref="C13:N13"/>
    <mergeCell ref="C14:N14"/>
    <mergeCell ref="C8:N8"/>
    <mergeCell ref="C9:N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0">
    <pageSetUpPr fitToPage="1"/>
  </sheetPr>
  <dimension ref="A1:AA54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7" customWidth="1"/>
    <col min="17" max="27" width="0" style="27" hidden="1" customWidth="1"/>
    <col min="28" max="16384" width="9.140625" style="27" hidden="1"/>
  </cols>
  <sheetData>
    <row r="1" spans="1:27" ht="24.95" customHeight="1" x14ac:dyDescent="0.2">
      <c r="A1" s="26"/>
    </row>
    <row r="2" spans="1:27" ht="24.95" customHeight="1" x14ac:dyDescent="0.2"/>
    <row r="3" spans="1:27" ht="24.95" customHeight="1" x14ac:dyDescent="0.2"/>
    <row r="4" spans="1:2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7" ht="24.95" customHeight="1" x14ac:dyDescent="0.2">
      <c r="A6" s="266"/>
      <c r="B6" s="266"/>
      <c r="C6" s="699" t="s">
        <v>1995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266"/>
      <c r="P6" s="266"/>
    </row>
    <row r="7" spans="1:27" ht="15" customHeight="1" x14ac:dyDescent="0.2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27" ht="15" customHeight="1" x14ac:dyDescent="0.2">
      <c r="A8" s="266"/>
      <c r="B8" s="266"/>
      <c r="C8" s="266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N8" s="266"/>
      <c r="O8" s="266"/>
      <c r="P8" s="266"/>
    </row>
    <row r="9" spans="1:27" ht="15" customHeight="1" x14ac:dyDescent="0.2">
      <c r="B9" s="323"/>
      <c r="C9" s="324"/>
      <c r="D9" s="324"/>
      <c r="E9" s="324"/>
      <c r="F9" s="324"/>
      <c r="G9" s="324"/>
      <c r="H9" s="324"/>
      <c r="I9" s="324"/>
      <c r="J9" s="324"/>
    </row>
    <row r="10" spans="1:27" ht="15" customHeight="1" x14ac:dyDescent="0.2"/>
    <row r="11" spans="1:27" ht="15" customHeight="1" x14ac:dyDescent="0.2">
      <c r="D11" s="273" t="s">
        <v>287</v>
      </c>
      <c r="G11" s="237">
        <v>2</v>
      </c>
      <c r="H11" s="27" t="s">
        <v>575</v>
      </c>
    </row>
    <row r="12" spans="1:27" ht="15" customHeight="1" x14ac:dyDescent="0.2">
      <c r="D12" s="283"/>
      <c r="W12" s="26"/>
      <c r="X12" s="26"/>
      <c r="Y12" s="26"/>
      <c r="Z12" s="26"/>
      <c r="AA12" s="26"/>
    </row>
    <row r="13" spans="1:27" ht="15" customHeight="1" x14ac:dyDescent="0.2">
      <c r="D13" s="273" t="s">
        <v>1735</v>
      </c>
      <c r="G13" s="237">
        <v>0.3</v>
      </c>
      <c r="H13" s="263" t="s">
        <v>352</v>
      </c>
      <c r="I13" s="237">
        <v>0.3</v>
      </c>
      <c r="J13" s="27" t="s">
        <v>486</v>
      </c>
      <c r="W13" s="325">
        <f>10000/(G13*I13)</f>
        <v>111111.11111111111</v>
      </c>
      <c r="X13" s="26" t="s">
        <v>487</v>
      </c>
      <c r="Y13" s="26"/>
      <c r="Z13" s="26"/>
      <c r="AA13" s="26"/>
    </row>
    <row r="14" spans="1:27" ht="15" customHeight="1" x14ac:dyDescent="0.2">
      <c r="D14" s="283"/>
      <c r="G14" s="263"/>
      <c r="H14" s="306"/>
      <c r="I14" s="306"/>
      <c r="W14" s="26"/>
      <c r="X14" s="26"/>
      <c r="Y14" s="26"/>
      <c r="Z14" s="26"/>
      <c r="AA14" s="26"/>
    </row>
    <row r="15" spans="1:27" ht="15" customHeight="1" x14ac:dyDescent="0.2">
      <c r="D15" s="273" t="s">
        <v>1731</v>
      </c>
      <c r="G15" s="237">
        <v>5</v>
      </c>
      <c r="H15" s="26" t="s">
        <v>1953</v>
      </c>
      <c r="I15" s="306"/>
      <c r="W15" s="26"/>
      <c r="X15" s="26"/>
      <c r="Y15" s="26"/>
      <c r="Z15" s="26"/>
      <c r="AA15" s="26"/>
    </row>
    <row r="16" spans="1:27" ht="15" customHeight="1" x14ac:dyDescent="0.2">
      <c r="D16" s="283"/>
      <c r="G16" s="237">
        <v>60</v>
      </c>
      <c r="H16" s="26" t="s">
        <v>1933</v>
      </c>
      <c r="I16" s="306"/>
      <c r="W16" s="26"/>
      <c r="X16" s="26"/>
      <c r="Y16" s="26"/>
      <c r="Z16" s="26"/>
      <c r="AA16" s="26"/>
    </row>
    <row r="17" spans="3:27" ht="15" customHeight="1" x14ac:dyDescent="0.2">
      <c r="D17" s="283"/>
      <c r="G17" s="237">
        <v>5</v>
      </c>
      <c r="H17" s="26" t="s">
        <v>1934</v>
      </c>
      <c r="I17" s="306"/>
      <c r="W17" s="26"/>
      <c r="X17" s="26"/>
      <c r="Y17" s="26"/>
      <c r="Z17" s="26"/>
      <c r="AA17" s="26"/>
    </row>
    <row r="18" spans="3:27" ht="15" customHeight="1" x14ac:dyDescent="0.2">
      <c r="D18" s="283"/>
      <c r="G18" s="237">
        <v>20</v>
      </c>
      <c r="H18" s="26" t="s">
        <v>1929</v>
      </c>
      <c r="I18" s="306"/>
      <c r="W18" s="315">
        <f xml:space="preserve"> G17*(60-G18)/G20</f>
        <v>2.8571428571428572</v>
      </c>
      <c r="X18" s="26" t="s">
        <v>119</v>
      </c>
      <c r="Y18" s="26"/>
      <c r="Z18" s="26"/>
      <c r="AA18" s="26"/>
    </row>
    <row r="19" spans="3:27" ht="15" customHeight="1" x14ac:dyDescent="0.2">
      <c r="D19" s="283"/>
      <c r="G19" s="263"/>
      <c r="H19" s="26"/>
      <c r="I19" s="306"/>
      <c r="W19" s="26"/>
      <c r="X19" s="26"/>
      <c r="Y19" s="26"/>
      <c r="Z19" s="26"/>
      <c r="AA19" s="26"/>
    </row>
    <row r="20" spans="3:27" ht="15" customHeight="1" x14ac:dyDescent="0.2">
      <c r="D20" s="273" t="s">
        <v>1730</v>
      </c>
      <c r="G20" s="237">
        <v>70</v>
      </c>
      <c r="H20" s="26" t="s">
        <v>563</v>
      </c>
      <c r="I20" s="306"/>
      <c r="W20" s="171" t="str">
        <f>IF(G15&lt;5,"80",IF(AND(G15&gt;=5,G15&lt;10),"60",IF(AND(G15&gt;=10,G15&lt;30),"40",0)))</f>
        <v>60</v>
      </c>
      <c r="X20" s="26" t="s">
        <v>344</v>
      </c>
      <c r="Y20" s="26"/>
      <c r="Z20" s="26"/>
      <c r="AA20" s="26"/>
    </row>
    <row r="21" spans="3:27" ht="15" customHeight="1" x14ac:dyDescent="0.2">
      <c r="D21" s="283"/>
      <c r="G21" s="263"/>
      <c r="W21" s="171">
        <v>80</v>
      </c>
      <c r="X21" s="26" t="s">
        <v>346</v>
      </c>
      <c r="Y21" s="26"/>
      <c r="Z21" s="26"/>
      <c r="AA21" s="26"/>
    </row>
    <row r="22" spans="3:27" ht="15" customHeight="1" x14ac:dyDescent="0.25">
      <c r="C22" s="291"/>
      <c r="D22" s="326" t="s">
        <v>371</v>
      </c>
      <c r="E22" s="263"/>
      <c r="W22" s="171"/>
      <c r="X22" s="26"/>
      <c r="Y22" s="26"/>
      <c r="Z22" s="26"/>
      <c r="AA22" s="26"/>
    </row>
    <row r="23" spans="3:27" ht="15" customHeight="1" x14ac:dyDescent="0.2">
      <c r="D23" s="273" t="s">
        <v>1737</v>
      </c>
      <c r="G23" s="220">
        <f>IF(W18&gt;0,W18,0)</f>
        <v>2.8571428571428572</v>
      </c>
      <c r="H23" s="273" t="s">
        <v>1736</v>
      </c>
      <c r="I23" s="273"/>
      <c r="W23" s="171"/>
      <c r="X23" s="26"/>
      <c r="Y23" s="26"/>
      <c r="Z23" s="26"/>
      <c r="AA23" s="26"/>
    </row>
    <row r="24" spans="3:27" ht="15" customHeight="1" x14ac:dyDescent="0.2">
      <c r="D24" s="26"/>
      <c r="G24" s="26"/>
      <c r="H24" s="26"/>
      <c r="I24" s="171"/>
      <c r="W24" s="171"/>
      <c r="X24" s="26"/>
      <c r="Y24" s="26"/>
      <c r="Z24" s="26"/>
      <c r="AA24" s="26"/>
    </row>
    <row r="25" spans="3:27" ht="15" customHeight="1" x14ac:dyDescent="0.2">
      <c r="D25" s="292" t="s">
        <v>489</v>
      </c>
      <c r="G25" s="224">
        <f>W25</f>
        <v>50</v>
      </c>
      <c r="H25" s="273" t="s">
        <v>343</v>
      </c>
      <c r="I25" s="325"/>
      <c r="W25" s="171">
        <v>50</v>
      </c>
      <c r="X25" s="26" t="s">
        <v>652</v>
      </c>
      <c r="Y25" s="26"/>
      <c r="Z25" s="26"/>
      <c r="AA25" s="26"/>
    </row>
    <row r="26" spans="3:27" ht="15" customHeight="1" x14ac:dyDescent="0.2">
      <c r="D26" s="26"/>
      <c r="G26" s="224" t="str">
        <f>W20</f>
        <v>60</v>
      </c>
      <c r="H26" s="273" t="s">
        <v>344</v>
      </c>
      <c r="I26" s="325"/>
      <c r="W26" s="26"/>
      <c r="X26" s="26"/>
      <c r="Y26" s="26"/>
      <c r="Z26" s="26"/>
      <c r="AA26" s="26"/>
    </row>
    <row r="27" spans="3:27" ht="15" customHeight="1" x14ac:dyDescent="0.2">
      <c r="D27" s="26"/>
      <c r="G27" s="222" t="str">
        <f>IF(G16&lt;60,"60",IF(AND(G16&gt;=60,G16&lt;120),"40","0"))</f>
        <v>40</v>
      </c>
      <c r="H27" s="273" t="s">
        <v>345</v>
      </c>
      <c r="I27" s="26"/>
      <c r="W27" s="26"/>
      <c r="X27" s="26"/>
      <c r="Y27" s="26"/>
      <c r="Z27" s="26"/>
      <c r="AA27" s="26"/>
    </row>
    <row r="28" spans="3:27" ht="15" customHeight="1" x14ac:dyDescent="0.2">
      <c r="D28" s="26"/>
      <c r="E28" s="26"/>
      <c r="F28" s="221"/>
      <c r="G28" s="273"/>
      <c r="H28" s="218"/>
      <c r="I28" s="263"/>
      <c r="W28" s="26"/>
      <c r="X28" s="26"/>
      <c r="Y28" s="26"/>
      <c r="Z28" s="26"/>
      <c r="AA28" s="26"/>
    </row>
    <row r="29" spans="3:27" ht="15" customHeight="1" x14ac:dyDescent="0.2">
      <c r="D29" s="292" t="s">
        <v>1008</v>
      </c>
      <c r="E29" s="26"/>
      <c r="G29" s="224">
        <f>((W20*5)/W13)*1000</f>
        <v>2.7</v>
      </c>
      <c r="H29" s="304" t="s">
        <v>1316</v>
      </c>
      <c r="I29" s="318"/>
    </row>
    <row r="30" spans="3:27" ht="15" customHeight="1" x14ac:dyDescent="0.25">
      <c r="E30" s="326"/>
      <c r="F30" s="326"/>
      <c r="G30" s="224">
        <f>((W21)/W13)*1000</f>
        <v>0.72000000000000008</v>
      </c>
      <c r="H30" s="304" t="s">
        <v>1317</v>
      </c>
      <c r="I30" s="318"/>
    </row>
    <row r="31" spans="3:27" ht="15" customHeight="1" x14ac:dyDescent="0.2"/>
    <row r="32" spans="3:27" ht="15" customHeight="1" x14ac:dyDescent="0.2">
      <c r="D32" s="26" t="s">
        <v>1738</v>
      </c>
      <c r="H32" s="218"/>
      <c r="I32" s="224">
        <f>(1000*(W25*5)/W13)</f>
        <v>2.25</v>
      </c>
      <c r="J32" s="275" t="s">
        <v>558</v>
      </c>
      <c r="K32" s="277" t="str">
        <f>IF(G16&lt;60,"20-00-20.",IF(AND(G16&gt;=60,G16&lt;120),"20-00-10.","Sultato de Amônio."))</f>
        <v>20-00-10.</v>
      </c>
    </row>
    <row r="33" spans="2:11" ht="15" customHeight="1" x14ac:dyDescent="0.2">
      <c r="H33" s="218"/>
      <c r="I33" s="306"/>
    </row>
    <row r="34" spans="2:11" ht="15" customHeight="1" x14ac:dyDescent="0.2">
      <c r="E34" s="224"/>
      <c r="F34" s="304"/>
      <c r="G34" s="318"/>
      <c r="H34" s="218"/>
      <c r="I34" s="306"/>
    </row>
    <row r="35" spans="2:11" ht="15" customHeight="1" x14ac:dyDescent="0.2">
      <c r="D35" s="327" t="s">
        <v>1997</v>
      </c>
      <c r="E35" s="328"/>
      <c r="F35" s="328"/>
      <c r="G35" s="329">
        <f>(G23*G11)*20</f>
        <v>114.28571428571429</v>
      </c>
      <c r="H35" s="330" t="s">
        <v>1739</v>
      </c>
      <c r="I35" s="328"/>
      <c r="J35" s="328"/>
      <c r="K35" s="328"/>
    </row>
    <row r="36" spans="2:11" ht="15" customHeight="1" x14ac:dyDescent="0.2">
      <c r="F36" s="283"/>
      <c r="G36" s="222">
        <f>(((G29*W13)/1000)*G11)/50</f>
        <v>12</v>
      </c>
      <c r="H36" s="26" t="s">
        <v>1740</v>
      </c>
    </row>
    <row r="37" spans="2:11" ht="15" customHeight="1" x14ac:dyDescent="0.2">
      <c r="D37" s="221"/>
      <c r="E37" s="221"/>
      <c r="G37" s="222">
        <f>(((I32*W13)/1000)/50)*G11</f>
        <v>10</v>
      </c>
      <c r="H37" s="26" t="s">
        <v>1741</v>
      </c>
    </row>
    <row r="38" spans="2:11" ht="15" customHeight="1" x14ac:dyDescent="0.2">
      <c r="D38" s="157"/>
      <c r="E38" s="157"/>
      <c r="F38" s="157"/>
      <c r="G38" s="331">
        <f>((G30*W13)/1000/50)*G11</f>
        <v>3.2000000000000006</v>
      </c>
      <c r="H38" s="332" t="s">
        <v>1742</v>
      </c>
      <c r="I38" s="157"/>
      <c r="J38" s="157"/>
      <c r="K38" s="157"/>
    </row>
    <row r="39" spans="2:11" ht="15" customHeight="1" x14ac:dyDescent="0.2">
      <c r="H39" s="333"/>
    </row>
    <row r="40" spans="2:11" ht="15" customHeight="1" x14ac:dyDescent="0.2"/>
    <row r="41" spans="2:11" ht="15" customHeight="1" x14ac:dyDescent="0.2">
      <c r="F41" s="263"/>
    </row>
    <row r="42" spans="2:11" ht="15" customHeight="1" x14ac:dyDescent="0.2">
      <c r="C42" s="221"/>
    </row>
    <row r="43" spans="2:11" ht="15" customHeight="1" x14ac:dyDescent="0.2">
      <c r="C43" s="334"/>
      <c r="D43" s="334"/>
      <c r="E43" s="334"/>
      <c r="F43" s="334"/>
      <c r="G43" s="334"/>
      <c r="H43" s="334"/>
      <c r="I43" s="334"/>
      <c r="J43" s="334"/>
      <c r="K43" s="334"/>
    </row>
    <row r="44" spans="2:11" ht="15" customHeight="1" x14ac:dyDescent="0.2">
      <c r="B44" s="304"/>
      <c r="C44" s="334"/>
      <c r="D44" s="334"/>
      <c r="E44" s="334"/>
      <c r="F44" s="334"/>
      <c r="G44" s="334"/>
      <c r="H44" s="334"/>
      <c r="I44" s="334"/>
      <c r="J44" s="334"/>
      <c r="K44" s="334"/>
    </row>
    <row r="45" spans="2:11" ht="15" customHeight="1" x14ac:dyDescent="0.2">
      <c r="B45" s="304"/>
      <c r="C45" s="334"/>
      <c r="D45" s="334"/>
      <c r="E45" s="334"/>
      <c r="F45" s="334"/>
      <c r="G45" s="334"/>
      <c r="H45" s="334"/>
      <c r="I45" s="334"/>
      <c r="J45" s="334"/>
      <c r="K45" s="334"/>
    </row>
    <row r="46" spans="2:11" ht="15" customHeight="1" x14ac:dyDescent="0.2">
      <c r="B46" s="304"/>
      <c r="C46" s="334"/>
      <c r="D46" s="334"/>
      <c r="E46" s="334"/>
      <c r="F46" s="334"/>
      <c r="G46" s="334"/>
      <c r="H46" s="334"/>
      <c r="I46" s="334"/>
      <c r="J46" s="334"/>
      <c r="K46" s="334"/>
    </row>
    <row r="47" spans="2:11" ht="15" customHeight="1" x14ac:dyDescent="0.2">
      <c r="C47" s="334"/>
      <c r="D47" s="334"/>
      <c r="E47" s="334"/>
      <c r="F47" s="334"/>
      <c r="G47" s="334"/>
      <c r="H47" s="334"/>
      <c r="I47" s="334"/>
      <c r="J47" s="334"/>
      <c r="K47" s="334"/>
    </row>
    <row r="48" spans="2:11" ht="15" customHeight="1" x14ac:dyDescent="0.2">
      <c r="C48" s="334"/>
      <c r="D48" s="334"/>
      <c r="E48" s="334"/>
      <c r="F48" s="334"/>
      <c r="G48" s="334"/>
      <c r="H48" s="334"/>
      <c r="I48" s="334"/>
      <c r="J48" s="334"/>
      <c r="K48" s="334"/>
    </row>
    <row r="49" spans="3:11" s="296" customFormat="1" ht="15" customHeight="1" x14ac:dyDescent="0.2">
      <c r="D49" s="702"/>
      <c r="E49" s="702"/>
    </row>
    <row r="50" spans="3:11" s="296" customFormat="1" ht="15" customHeight="1" x14ac:dyDescent="0.2">
      <c r="C50" s="317" t="s">
        <v>891</v>
      </c>
      <c r="D50" s="771">
        <f ca="1">TODAY()</f>
        <v>45064</v>
      </c>
      <c r="E50" s="772"/>
      <c r="F50" s="292" t="s">
        <v>373</v>
      </c>
    </row>
    <row r="51" spans="3:11" s="296" customFormat="1" ht="15" customHeight="1" x14ac:dyDescent="0.2">
      <c r="C51" s="267"/>
      <c r="G51" s="702"/>
      <c r="H51" s="702"/>
      <c r="I51" s="702"/>
      <c r="J51" s="702"/>
      <c r="K51" s="702"/>
    </row>
    <row r="52" spans="3:11" s="296" customFormat="1" ht="15" hidden="1" customHeight="1" x14ac:dyDescent="0.2">
      <c r="C52" s="267"/>
    </row>
    <row r="53" spans="3:11" s="296" customFormat="1" ht="15" hidden="1" customHeight="1" x14ac:dyDescent="0.2">
      <c r="C53" s="267"/>
    </row>
    <row r="54" spans="3:11" s="296" customFormat="1" ht="15" hidden="1" customHeight="1" x14ac:dyDescent="0.2">
      <c r="C54" s="267"/>
      <c r="D54" s="336"/>
    </row>
  </sheetData>
  <sheetProtection algorithmName="SHA-512" hashValue="+MVjm1XoY9edpnh5PZvL2YBzQHCir7KTOxdPzHk5TlsceSXcm3VcGu/6L3jzmrz49Z7Y+Kcp99mmRbe4FowEug==" saltValue="PEZmOcNgGlmKoenrm6INYw==" spinCount="100000" sheet="1" objects="1" scenarios="1" selectLockedCells="1"/>
  <mergeCells count="5">
    <mergeCell ref="C6:N6"/>
    <mergeCell ref="E8:M8"/>
    <mergeCell ref="D49:E49"/>
    <mergeCell ref="G51:K51"/>
    <mergeCell ref="D50:E50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orientation="portrait" horizontalDpi="360" verticalDpi="36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1">
    <pageSetUpPr fitToPage="1"/>
  </sheetPr>
  <dimension ref="A1:AB6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2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8" ht="24.95" customHeight="1" x14ac:dyDescent="0.2">
      <c r="C6" s="699" t="s">
        <v>1996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8" ht="15" customHeight="1" x14ac:dyDescent="0.2"/>
    <row r="8" spans="1:28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8" ht="15" customHeight="1" x14ac:dyDescent="0.2"/>
    <row r="10" spans="1:28" ht="15" customHeight="1" x14ac:dyDescent="0.2">
      <c r="C10" s="49"/>
      <c r="D10" s="257"/>
      <c r="E10" s="257"/>
      <c r="F10" s="257"/>
      <c r="G10" s="257"/>
      <c r="H10" s="257"/>
      <c r="I10" s="257"/>
      <c r="J10" s="257"/>
      <c r="K10" s="257"/>
      <c r="L10" s="49"/>
    </row>
    <row r="11" spans="1:28" s="213" customFormat="1" ht="15" customHeight="1" x14ac:dyDescent="0.2">
      <c r="C11" s="49"/>
      <c r="D11" s="170" t="s">
        <v>580</v>
      </c>
      <c r="E11" s="256"/>
      <c r="F11" s="49"/>
      <c r="G11" s="9">
        <v>1</v>
      </c>
      <c r="H11" s="256" t="s">
        <v>575</v>
      </c>
      <c r="I11" s="256"/>
      <c r="J11" s="256"/>
      <c r="K11" s="256"/>
      <c r="L11" s="49"/>
    </row>
    <row r="12" spans="1:28" ht="15" customHeight="1" x14ac:dyDescent="0.2">
      <c r="C12" s="49"/>
      <c r="D12" s="257"/>
      <c r="E12" s="257"/>
      <c r="F12" s="49"/>
      <c r="G12" s="257"/>
      <c r="H12" s="257"/>
      <c r="I12" s="257"/>
      <c r="J12" s="257"/>
      <c r="K12" s="257"/>
      <c r="L12" s="49"/>
    </row>
    <row r="13" spans="1:28" ht="15" customHeight="1" x14ac:dyDescent="0.2">
      <c r="C13" s="49"/>
      <c r="D13" s="49" t="s">
        <v>338</v>
      </c>
      <c r="E13" s="49"/>
      <c r="F13" s="49"/>
      <c r="G13" s="9">
        <v>3</v>
      </c>
      <c r="H13" s="49" t="s">
        <v>1953</v>
      </c>
      <c r="I13" s="49"/>
      <c r="J13" s="49"/>
      <c r="K13" s="49"/>
      <c r="L13" s="49"/>
      <c r="X13" s="26"/>
      <c r="Y13" s="26"/>
      <c r="Z13" s="26"/>
      <c r="AA13" s="26"/>
      <c r="AB13" s="26"/>
    </row>
    <row r="14" spans="1:28" ht="15" customHeight="1" x14ac:dyDescent="0.2">
      <c r="C14" s="49"/>
      <c r="D14" s="49"/>
      <c r="E14" s="49"/>
      <c r="F14" s="49"/>
      <c r="G14" s="9">
        <v>50</v>
      </c>
      <c r="H14" s="49" t="s">
        <v>1933</v>
      </c>
      <c r="I14" s="49"/>
      <c r="J14" s="49"/>
      <c r="K14" s="49"/>
      <c r="L14" s="49"/>
      <c r="X14" s="26"/>
      <c r="Y14" s="26"/>
      <c r="Z14" s="26"/>
      <c r="AA14" s="26"/>
      <c r="AB14" s="26"/>
    </row>
    <row r="15" spans="1:28" ht="15" customHeight="1" x14ac:dyDescent="0.2">
      <c r="C15" s="49"/>
      <c r="D15" s="49"/>
      <c r="E15" s="49"/>
      <c r="F15" s="49"/>
      <c r="G15" s="9">
        <v>5.5</v>
      </c>
      <c r="H15" s="49" t="s">
        <v>1934</v>
      </c>
      <c r="I15" s="49"/>
      <c r="J15" s="49"/>
      <c r="K15" s="49"/>
      <c r="L15" s="49"/>
      <c r="X15" s="26"/>
      <c r="Y15" s="26"/>
      <c r="Z15" s="26"/>
      <c r="AA15" s="26"/>
      <c r="AB15" s="26"/>
    </row>
    <row r="16" spans="1:28" ht="15" customHeight="1" x14ac:dyDescent="0.2">
      <c r="C16" s="49"/>
      <c r="D16" s="49"/>
      <c r="E16" s="49"/>
      <c r="F16" s="49"/>
      <c r="G16" s="9">
        <v>57</v>
      </c>
      <c r="H16" s="49" t="s">
        <v>1929</v>
      </c>
      <c r="I16" s="49"/>
      <c r="J16" s="49"/>
      <c r="K16" s="49"/>
      <c r="L16" s="49"/>
      <c r="X16" s="26"/>
      <c r="Y16" s="315">
        <f xml:space="preserve"> G15*(60-G16)/G18</f>
        <v>0.18333333333333332</v>
      </c>
      <c r="Z16" s="26" t="s">
        <v>119</v>
      </c>
      <c r="AA16" s="26"/>
      <c r="AB16" s="26"/>
    </row>
    <row r="17" spans="3:28" ht="15" customHeight="1" x14ac:dyDescent="0.2">
      <c r="C17" s="49"/>
      <c r="D17" s="49"/>
      <c r="E17" s="49"/>
      <c r="F17" s="49"/>
      <c r="G17" s="256"/>
      <c r="H17" s="49"/>
      <c r="I17" s="49"/>
      <c r="J17" s="49"/>
      <c r="K17" s="49"/>
      <c r="L17" s="49"/>
      <c r="X17" s="26"/>
      <c r="Y17" s="26"/>
      <c r="Z17" s="26"/>
      <c r="AA17" s="26"/>
      <c r="AB17" s="26"/>
    </row>
    <row r="18" spans="3:28" ht="15" customHeight="1" x14ac:dyDescent="0.2">
      <c r="C18" s="49"/>
      <c r="D18" s="49" t="s">
        <v>340</v>
      </c>
      <c r="E18" s="49"/>
      <c r="F18" s="49"/>
      <c r="G18" s="9">
        <v>90</v>
      </c>
      <c r="H18" s="49" t="s">
        <v>341</v>
      </c>
      <c r="I18" s="49"/>
      <c r="J18" s="49"/>
      <c r="K18" s="49"/>
      <c r="L18" s="49"/>
      <c r="X18" s="26"/>
      <c r="Y18" s="171" t="str">
        <f>IF(G13&lt;5,"50",IF(AND(G13&gt;=5,G13&lt;10),"40",IF(AND(G13&gt;=10,G13&lt;30),"30",0)))</f>
        <v>50</v>
      </c>
      <c r="Z18" s="26" t="s">
        <v>344</v>
      </c>
      <c r="AA18" s="26"/>
      <c r="AB18" s="26"/>
    </row>
    <row r="19" spans="3:28" ht="15" customHeight="1" x14ac:dyDescent="0.2">
      <c r="C19" s="49"/>
      <c r="D19" s="49"/>
      <c r="E19" s="49"/>
      <c r="F19" s="256"/>
      <c r="G19" s="49"/>
      <c r="H19" s="49"/>
      <c r="I19" s="49"/>
      <c r="J19" s="49"/>
      <c r="K19" s="49"/>
      <c r="L19" s="49"/>
      <c r="X19" s="26"/>
      <c r="Y19" s="171">
        <v>50</v>
      </c>
      <c r="Z19" s="26" t="s">
        <v>346</v>
      </c>
      <c r="AA19" s="26"/>
      <c r="AB19" s="26"/>
    </row>
    <row r="20" spans="3:28" ht="15" customHeight="1" x14ac:dyDescent="0.25">
      <c r="D20" s="337" t="s">
        <v>371</v>
      </c>
      <c r="F20" s="265"/>
      <c r="X20" s="26"/>
      <c r="Y20" s="171"/>
      <c r="Z20" s="26"/>
      <c r="AA20" s="26"/>
      <c r="AB20" s="26"/>
    </row>
    <row r="21" spans="3:28" ht="15" customHeight="1" x14ac:dyDescent="0.2">
      <c r="D21" s="49" t="s">
        <v>573</v>
      </c>
      <c r="E21" s="49"/>
      <c r="F21" s="49"/>
      <c r="G21" s="286">
        <f>IF(Y16&gt;0,Y16,0)</f>
        <v>0.18333333333333332</v>
      </c>
      <c r="H21" s="170" t="s">
        <v>488</v>
      </c>
      <c r="I21" s="170"/>
      <c r="J21" s="49"/>
      <c r="K21" s="49"/>
      <c r="L21" s="49"/>
      <c r="X21" s="26"/>
      <c r="Y21" s="171"/>
      <c r="Z21" s="26"/>
      <c r="AA21" s="26"/>
      <c r="AB21" s="26"/>
    </row>
    <row r="22" spans="3:28" ht="15" customHeight="1" x14ac:dyDescent="0.2">
      <c r="D22" s="49"/>
      <c r="E22" s="49"/>
      <c r="F22" s="49"/>
      <c r="G22" s="49"/>
      <c r="H22" s="171"/>
      <c r="I22" s="325"/>
      <c r="J22" s="171"/>
      <c r="K22" s="49"/>
      <c r="L22" s="49"/>
      <c r="X22" s="26"/>
      <c r="Y22" s="171"/>
      <c r="Z22" s="26"/>
      <c r="AA22" s="26"/>
      <c r="AB22" s="26"/>
    </row>
    <row r="23" spans="3:28" ht="15" customHeight="1" x14ac:dyDescent="0.2">
      <c r="D23" s="49" t="s">
        <v>489</v>
      </c>
      <c r="E23" s="169"/>
      <c r="F23" s="49"/>
      <c r="G23" s="276">
        <f>Y23</f>
        <v>50</v>
      </c>
      <c r="H23" s="292" t="s">
        <v>343</v>
      </c>
      <c r="I23" s="325"/>
      <c r="J23" s="171"/>
      <c r="K23" s="49"/>
      <c r="L23" s="49"/>
      <c r="X23" s="26"/>
      <c r="Y23" s="171">
        <v>50</v>
      </c>
      <c r="Z23" s="26" t="s">
        <v>652</v>
      </c>
      <c r="AA23" s="26"/>
      <c r="AB23" s="26"/>
    </row>
    <row r="24" spans="3:28" ht="15" customHeight="1" x14ac:dyDescent="0.2">
      <c r="D24" s="49"/>
      <c r="E24" s="49"/>
      <c r="F24" s="49"/>
      <c r="G24" s="276" t="str">
        <f>Y18</f>
        <v>50</v>
      </c>
      <c r="H24" s="292" t="s">
        <v>344</v>
      </c>
      <c r="I24" s="325"/>
      <c r="J24" s="171"/>
      <c r="K24" s="49"/>
      <c r="L24" s="49"/>
      <c r="X24" s="26"/>
      <c r="Y24" s="26"/>
      <c r="Z24" s="26"/>
      <c r="AA24" s="26"/>
      <c r="AB24" s="26"/>
    </row>
    <row r="25" spans="3:28" ht="15" customHeight="1" x14ac:dyDescent="0.2">
      <c r="D25" s="49"/>
      <c r="E25" s="49"/>
      <c r="F25" s="49"/>
      <c r="G25" s="257" t="str">
        <f>IF(G14&lt;60,"60",IF(AND(G14&gt;=60,G14&lt;120),"40","0"))</f>
        <v>60</v>
      </c>
      <c r="H25" s="292" t="s">
        <v>345</v>
      </c>
      <c r="I25" s="325"/>
      <c r="J25" s="171"/>
      <c r="K25" s="49"/>
      <c r="L25" s="49"/>
    </row>
    <row r="26" spans="3:28" ht="15" customHeight="1" x14ac:dyDescent="0.2">
      <c r="D26" s="49"/>
      <c r="E26" s="49"/>
      <c r="F26" s="26"/>
      <c r="G26" s="49"/>
      <c r="H26" s="49"/>
      <c r="I26" s="49"/>
      <c r="J26" s="49"/>
      <c r="K26" s="49"/>
      <c r="L26" s="49"/>
    </row>
    <row r="27" spans="3:28" ht="15" customHeight="1" x14ac:dyDescent="0.2">
      <c r="D27" s="292" t="s">
        <v>1998</v>
      </c>
      <c r="E27" s="49"/>
      <c r="F27" s="49"/>
      <c r="G27" s="276">
        <f>(Y23*5)/10</f>
        <v>25</v>
      </c>
      <c r="H27" s="273" t="s">
        <v>1011</v>
      </c>
      <c r="I27" s="277" t="str">
        <f>IF(G14&lt;60,"20-00-20",IF(AND(G14&gt;=60,G14&lt;120),"20-00-10","Sultato de Amônio"))</f>
        <v>20-00-20</v>
      </c>
      <c r="J27" s="49"/>
      <c r="K27" s="49"/>
      <c r="L27" s="49"/>
    </row>
    <row r="28" spans="3:28" ht="15" customHeight="1" x14ac:dyDescent="0.2">
      <c r="D28" s="49"/>
      <c r="E28" s="49"/>
      <c r="F28" s="49"/>
      <c r="G28" s="224">
        <f>(Y18*5)/10</f>
        <v>25</v>
      </c>
      <c r="H28" s="49" t="s">
        <v>717</v>
      </c>
      <c r="I28" s="171"/>
      <c r="J28" s="325"/>
      <c r="K28" s="26"/>
      <c r="L28" s="49"/>
    </row>
    <row r="29" spans="3:28" ht="15" customHeight="1" x14ac:dyDescent="0.2">
      <c r="D29" s="49"/>
      <c r="E29" s="49"/>
      <c r="F29" s="49"/>
      <c r="G29" s="224">
        <f>((Y19)/10)</f>
        <v>5</v>
      </c>
      <c r="H29" s="49" t="s">
        <v>722</v>
      </c>
      <c r="I29" s="171"/>
      <c r="J29" s="325"/>
      <c r="K29" s="26"/>
      <c r="L29" s="49"/>
    </row>
    <row r="30" spans="3:28" ht="15" customHeight="1" x14ac:dyDescent="0.2">
      <c r="D30" s="157"/>
      <c r="E30" s="157"/>
      <c r="F30" s="157"/>
      <c r="G30" s="338"/>
      <c r="H30" s="339"/>
      <c r="I30" s="340"/>
      <c r="J30" s="341"/>
      <c r="K30" s="342"/>
    </row>
    <row r="31" spans="3:28" ht="15" customHeight="1" x14ac:dyDescent="0.2">
      <c r="D31" s="219" t="s">
        <v>1997</v>
      </c>
      <c r="F31" s="27"/>
      <c r="G31" s="310">
        <f>(G21*20)*G11</f>
        <v>3.6666666666666665</v>
      </c>
      <c r="H31" s="266" t="s">
        <v>288</v>
      </c>
      <c r="I31" s="333"/>
      <c r="J31" s="27"/>
      <c r="K31" s="27"/>
    </row>
    <row r="32" spans="3:28" ht="15" customHeight="1" x14ac:dyDescent="0.2">
      <c r="F32" s="27"/>
      <c r="G32" s="263">
        <f>(((G28*10000)/1000)/50)*G11</f>
        <v>5</v>
      </c>
      <c r="H32" s="266" t="s">
        <v>1134</v>
      </c>
      <c r="I32" s="333"/>
      <c r="J32" s="27"/>
      <c r="K32" s="27"/>
    </row>
    <row r="33" spans="4:13" ht="15" customHeight="1" x14ac:dyDescent="0.2">
      <c r="F33" s="27"/>
      <c r="G33" s="263">
        <f>(((G27*10000)/1000)/50)*G11</f>
        <v>5</v>
      </c>
      <c r="H33" s="266" t="s">
        <v>1135</v>
      </c>
      <c r="I33" s="333"/>
      <c r="J33" s="27"/>
      <c r="K33" s="27"/>
    </row>
    <row r="34" spans="4:13" ht="15" customHeight="1" x14ac:dyDescent="0.2">
      <c r="D34" s="157"/>
      <c r="E34" s="157"/>
      <c r="F34" s="157"/>
      <c r="G34" s="343">
        <f>((G29*10)/50)*G11</f>
        <v>1</v>
      </c>
      <c r="H34" s="157" t="s">
        <v>1136</v>
      </c>
      <c r="I34" s="344"/>
      <c r="J34" s="157"/>
      <c r="K34" s="157"/>
    </row>
    <row r="35" spans="4:13" ht="15" customHeight="1" x14ac:dyDescent="0.2">
      <c r="D35" s="27"/>
      <c r="E35" s="27"/>
      <c r="F35" s="27"/>
      <c r="G35" s="263"/>
      <c r="H35" s="27"/>
      <c r="I35" s="333"/>
      <c r="J35" s="27"/>
      <c r="K35" s="27"/>
    </row>
    <row r="36" spans="4:13" ht="15" customHeight="1" x14ac:dyDescent="0.2">
      <c r="D36" s="169"/>
    </row>
    <row r="37" spans="4:13" ht="15" customHeight="1" x14ac:dyDescent="0.2">
      <c r="D37" s="169"/>
    </row>
    <row r="38" spans="4:13" ht="15" customHeight="1" x14ac:dyDescent="0.2">
      <c r="D38" s="213"/>
    </row>
    <row r="39" spans="4:13" ht="15" customHeight="1" x14ac:dyDescent="0.2">
      <c r="D39" s="169"/>
    </row>
    <row r="40" spans="4:13" ht="15" customHeight="1" x14ac:dyDescent="0.2"/>
    <row r="41" spans="4:13" ht="15" customHeight="1" x14ac:dyDescent="0.2">
      <c r="E41" s="213"/>
    </row>
    <row r="42" spans="4:13" ht="15" customHeight="1" x14ac:dyDescent="0.2">
      <c r="E42" s="213"/>
    </row>
    <row r="43" spans="4:13" ht="15" customHeight="1" x14ac:dyDescent="0.2">
      <c r="D43" s="267"/>
    </row>
    <row r="44" spans="4:13" ht="15" customHeight="1" x14ac:dyDescent="0.2"/>
    <row r="45" spans="4:13" ht="15" customHeight="1" x14ac:dyDescent="0.2"/>
    <row r="46" spans="4:13" ht="15" customHeight="1" x14ac:dyDescent="0.2">
      <c r="D46" s="317" t="s">
        <v>891</v>
      </c>
      <c r="E46" s="771">
        <f ca="1">TODAY()</f>
        <v>45064</v>
      </c>
      <c r="F46" s="772"/>
      <c r="G46" s="60" t="s">
        <v>373</v>
      </c>
      <c r="H46" s="60"/>
      <c r="I46" s="60"/>
      <c r="J46" s="60"/>
      <c r="K46" s="60"/>
      <c r="L46" s="60"/>
      <c r="M46" s="60"/>
    </row>
    <row r="47" spans="4:13" ht="15" customHeight="1" x14ac:dyDescent="0.2"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4:13" s="213" customFormat="1" ht="15" hidden="1" customHeight="1" x14ac:dyDescent="0.2"/>
    <row r="49" spans="4:11" s="213" customFormat="1" ht="15" hidden="1" customHeight="1" x14ac:dyDescent="0.2"/>
    <row r="50" spans="4:11" s="213" customFormat="1" ht="15" hidden="1" customHeight="1" x14ac:dyDescent="0.2"/>
    <row r="51" spans="4:11" s="60" customFormat="1" ht="15" hidden="1" customHeight="1" x14ac:dyDescent="0.2">
      <c r="D51" s="267"/>
      <c r="E51" s="345"/>
    </row>
    <row r="52" spans="4:11" s="60" customFormat="1" ht="15" hidden="1" customHeight="1" x14ac:dyDescent="0.2">
      <c r="D52" s="267"/>
    </row>
    <row r="53" spans="4:11" s="60" customFormat="1" ht="15" hidden="1" customHeight="1" x14ac:dyDescent="0.2">
      <c r="D53" s="267"/>
      <c r="H53" s="859"/>
      <c r="I53" s="859"/>
      <c r="J53" s="859"/>
      <c r="K53" s="859"/>
    </row>
    <row r="54" spans="4:11" s="60" customFormat="1" ht="15" hidden="1" customHeight="1" x14ac:dyDescent="0.2">
      <c r="D54" s="267"/>
    </row>
    <row r="55" spans="4:11" s="60" customFormat="1" ht="15" hidden="1" customHeight="1" x14ac:dyDescent="0.2">
      <c r="D55" s="267"/>
    </row>
    <row r="56" spans="4:11" s="60" customFormat="1" ht="15" hidden="1" customHeight="1" x14ac:dyDescent="0.2">
      <c r="D56" s="267"/>
    </row>
    <row r="57" spans="4:11" s="60" customFormat="1" ht="15" hidden="1" customHeight="1" x14ac:dyDescent="0.2">
      <c r="D57" s="267"/>
      <c r="E57" s="111"/>
    </row>
    <row r="58" spans="4:11" ht="15" hidden="1" customHeight="1" x14ac:dyDescent="0.2">
      <c r="F58" s="111"/>
      <c r="G58" s="60"/>
      <c r="H58" s="60"/>
      <c r="I58" s="60"/>
    </row>
    <row r="59" spans="4:11" ht="15" hidden="1" customHeight="1" x14ac:dyDescent="0.2"/>
    <row r="60" spans="4:11" ht="15" hidden="1" customHeight="1" x14ac:dyDescent="0.2"/>
    <row r="61" spans="4:11" ht="15" hidden="1" customHeight="1" x14ac:dyDescent="0.2"/>
    <row r="62" spans="4:11" ht="15" hidden="1" customHeight="1" x14ac:dyDescent="0.2"/>
    <row r="63" spans="4:11" ht="15" hidden="1" customHeight="1" x14ac:dyDescent="0.2"/>
    <row r="64" spans="4:11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</sheetData>
  <sheetProtection algorithmName="SHA-512" hashValue="S3QhdvEjG74abtVOEty2EuvQs9AVCUPDRBBIfeoBFbYAZEtW7lRw6GJhuxN+++aKfsIxMjfFByctB4msOJqgLg==" saltValue="TJH0nJwG07mPxmCPUvPThg==" spinCount="100000" sheet="1" objects="1" scenarios="1" selectLockedCells="1"/>
  <mergeCells count="4">
    <mergeCell ref="H53:K53"/>
    <mergeCell ref="E46:F46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pageSetUpPr fitToPage="1"/>
  </sheetPr>
  <dimension ref="A1:W59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3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3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3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3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3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3" ht="24.95" customHeight="1" x14ac:dyDescent="0.2">
      <c r="D6" s="699" t="s">
        <v>1827</v>
      </c>
      <c r="E6" s="699"/>
      <c r="F6" s="699"/>
      <c r="G6" s="699"/>
      <c r="H6" s="699"/>
      <c r="I6" s="699"/>
      <c r="J6" s="699"/>
      <c r="K6" s="699"/>
      <c r="L6" s="699"/>
      <c r="M6" s="699"/>
    </row>
    <row r="7" spans="1:23" ht="15" customHeight="1" x14ac:dyDescent="0.2">
      <c r="D7" s="713" t="s">
        <v>957</v>
      </c>
      <c r="E7" s="713"/>
      <c r="F7" s="713"/>
      <c r="G7" s="713"/>
      <c r="H7" s="713"/>
      <c r="I7" s="713"/>
      <c r="J7" s="713"/>
      <c r="K7" s="713"/>
      <c r="L7" s="713"/>
      <c r="M7" s="713"/>
      <c r="N7" s="484"/>
      <c r="O7" s="57"/>
    </row>
    <row r="8" spans="1:23" ht="15" customHeight="1" x14ac:dyDescent="0.2"/>
    <row r="9" spans="1:23" ht="15" customHeight="1" x14ac:dyDescent="0.2">
      <c r="D9" s="391" t="s">
        <v>1313</v>
      </c>
      <c r="E9" s="696"/>
      <c r="F9" s="696"/>
      <c r="G9" s="696"/>
      <c r="H9" s="696"/>
      <c r="I9" s="696"/>
      <c r="J9" s="696"/>
      <c r="K9" s="696"/>
      <c r="L9" s="696"/>
      <c r="M9" s="696"/>
    </row>
    <row r="10" spans="1:23" ht="15" customHeight="1" x14ac:dyDescent="0.2">
      <c r="D10" s="391" t="s">
        <v>832</v>
      </c>
      <c r="E10" s="696"/>
      <c r="F10" s="696"/>
      <c r="G10" s="696"/>
      <c r="H10" s="696"/>
      <c r="I10" s="696"/>
      <c r="J10" s="696"/>
      <c r="K10" s="696"/>
      <c r="L10" s="696"/>
      <c r="M10" s="696"/>
    </row>
    <row r="11" spans="1:23" ht="15" customHeight="1" x14ac:dyDescent="0.2"/>
    <row r="12" spans="1:23" ht="15" customHeight="1" x14ac:dyDescent="0.2">
      <c r="D12" s="266" t="s">
        <v>1153</v>
      </c>
      <c r="F12" s="265" t="s">
        <v>1138</v>
      </c>
      <c r="G12" s="237">
        <v>20</v>
      </c>
      <c r="H12" s="49" t="s">
        <v>278</v>
      </c>
    </row>
    <row r="13" spans="1:23" ht="15" customHeight="1" x14ac:dyDescent="0.2">
      <c r="F13" s="265" t="s">
        <v>1125</v>
      </c>
      <c r="G13" s="237">
        <v>150</v>
      </c>
      <c r="H13" s="49" t="s">
        <v>278</v>
      </c>
    </row>
    <row r="14" spans="1:23" ht="15" customHeight="1" x14ac:dyDescent="0.3">
      <c r="F14" s="265" t="s">
        <v>1124</v>
      </c>
      <c r="G14" s="237">
        <v>6.1</v>
      </c>
      <c r="H14" s="49" t="s">
        <v>1784</v>
      </c>
    </row>
    <row r="15" spans="1:23" ht="15" customHeight="1" x14ac:dyDescent="0.3">
      <c r="F15" s="265" t="s">
        <v>1123</v>
      </c>
      <c r="G15" s="237">
        <v>3.7</v>
      </c>
      <c r="H15" s="49" t="s">
        <v>1784</v>
      </c>
      <c r="T15" s="266" t="s">
        <v>290</v>
      </c>
      <c r="V15" s="265">
        <f>(2000000*(G16/100))*0.05*0.03</f>
        <v>60</v>
      </c>
      <c r="W15" s="266" t="s">
        <v>343</v>
      </c>
    </row>
    <row r="16" spans="1:23" ht="15" customHeight="1" x14ac:dyDescent="0.2">
      <c r="F16" s="265" t="s">
        <v>718</v>
      </c>
      <c r="G16" s="237">
        <v>2</v>
      </c>
      <c r="H16" s="49" t="s">
        <v>1122</v>
      </c>
      <c r="T16" s="266" t="s">
        <v>397</v>
      </c>
      <c r="V16" s="265">
        <f>((((150-V15))*100)/(0.6*G24))</f>
        <v>10000.000000000002</v>
      </c>
      <c r="W16" s="266" t="s">
        <v>398</v>
      </c>
    </row>
    <row r="17" spans="4:23" ht="15" customHeight="1" x14ac:dyDescent="0.3">
      <c r="F17" s="265" t="s">
        <v>293</v>
      </c>
      <c r="G17" s="237">
        <v>10</v>
      </c>
      <c r="H17" s="49" t="s">
        <v>1784</v>
      </c>
      <c r="T17" s="266" t="s">
        <v>1657</v>
      </c>
      <c r="V17" s="265">
        <f>IF(V16&gt;=5000,V16,5000)</f>
        <v>10000.000000000002</v>
      </c>
      <c r="W17" s="266" t="s">
        <v>398</v>
      </c>
    </row>
    <row r="18" spans="4:23" ht="15" customHeight="1" x14ac:dyDescent="0.2">
      <c r="F18" s="265" t="s">
        <v>296</v>
      </c>
      <c r="G18" s="237">
        <v>40</v>
      </c>
      <c r="H18" s="49" t="s">
        <v>341</v>
      </c>
      <c r="T18" s="266" t="s">
        <v>397</v>
      </c>
      <c r="V18" s="265">
        <f>100*(V17/(100-G28))</f>
        <v>20000.000000000004</v>
      </c>
      <c r="W18" s="266" t="s">
        <v>399</v>
      </c>
    </row>
    <row r="19" spans="4:23" s="27" customFormat="1" ht="15" customHeight="1" x14ac:dyDescent="0.2">
      <c r="F19" s="263"/>
      <c r="G19" s="263"/>
      <c r="H19" s="26"/>
      <c r="V19" s="263"/>
    </row>
    <row r="20" spans="4:23" ht="15" customHeight="1" x14ac:dyDescent="0.2">
      <c r="D20" s="266" t="s">
        <v>1156</v>
      </c>
      <c r="G20" s="237">
        <v>90</v>
      </c>
      <c r="H20" s="49" t="s">
        <v>341</v>
      </c>
      <c r="V20" s="265"/>
    </row>
    <row r="21" spans="4:23" ht="15" customHeight="1" x14ac:dyDescent="0.2">
      <c r="G21" s="265"/>
      <c r="T21" s="49" t="s">
        <v>1826</v>
      </c>
      <c r="V21" s="209">
        <f>(V18/7000)</f>
        <v>2.8571428571428577</v>
      </c>
    </row>
    <row r="22" spans="4:23" ht="15" customHeight="1" x14ac:dyDescent="0.2">
      <c r="D22" s="49" t="s">
        <v>1828</v>
      </c>
    </row>
    <row r="23" spans="4:23" ht="15" customHeight="1" x14ac:dyDescent="0.2"/>
    <row r="24" spans="4:23" ht="15" customHeight="1" x14ac:dyDescent="0.2">
      <c r="F24" s="265" t="s">
        <v>385</v>
      </c>
      <c r="G24" s="237">
        <v>1.5</v>
      </c>
      <c r="H24" s="49" t="s">
        <v>1122</v>
      </c>
    </row>
    <row r="25" spans="4:23" ht="15" customHeight="1" x14ac:dyDescent="0.2">
      <c r="F25" s="265" t="s">
        <v>1138</v>
      </c>
      <c r="G25" s="237">
        <v>0.9</v>
      </c>
      <c r="H25" s="49" t="s">
        <v>1122</v>
      </c>
      <c r="K25" s="706" t="str">
        <f>HYPERLINK("#"&amp;"'FertiOrg'!H1","TABELA - Fertilizantes Orgânicos")</f>
        <v>TABELA - Fertilizantes Orgânicos</v>
      </c>
      <c r="L25" s="706"/>
      <c r="M25" s="706"/>
      <c r="N25" s="706"/>
    </row>
    <row r="26" spans="4:23" ht="15" customHeight="1" x14ac:dyDescent="0.2">
      <c r="F26" s="265" t="s">
        <v>1125</v>
      </c>
      <c r="G26" s="7">
        <v>1</v>
      </c>
      <c r="H26" s="49" t="s">
        <v>1122</v>
      </c>
    </row>
    <row r="27" spans="4:23" ht="15" customHeight="1" x14ac:dyDescent="0.2">
      <c r="F27" s="263"/>
      <c r="G27" s="263"/>
      <c r="H27" s="26"/>
    </row>
    <row r="28" spans="4:23" ht="15" customHeight="1" x14ac:dyDescent="0.2">
      <c r="E28" s="281" t="s">
        <v>401</v>
      </c>
      <c r="G28" s="237">
        <v>50</v>
      </c>
      <c r="H28" s="49" t="s">
        <v>341</v>
      </c>
    </row>
    <row r="29" spans="4:23" ht="15" customHeight="1" x14ac:dyDescent="0.25">
      <c r="D29" s="47"/>
      <c r="F29" s="265"/>
      <c r="G29" s="265"/>
      <c r="H29" s="265"/>
      <c r="J29" s="405"/>
      <c r="T29" s="266" t="s">
        <v>291</v>
      </c>
    </row>
    <row r="30" spans="4:23" ht="15" customHeight="1" x14ac:dyDescent="0.25">
      <c r="D30" s="164" t="s">
        <v>1036</v>
      </c>
      <c r="F30" s="265"/>
      <c r="G30" s="265"/>
      <c r="H30" s="265"/>
      <c r="J30" s="405"/>
      <c r="U30" s="265" t="s">
        <v>678</v>
      </c>
      <c r="V30" s="310">
        <f>(((V17*G25)/100)*2.3)*0.5</f>
        <v>103.50000000000001</v>
      </c>
    </row>
    <row r="31" spans="4:23" ht="15" customHeight="1" x14ac:dyDescent="0.25">
      <c r="E31" s="406" t="s">
        <v>573</v>
      </c>
      <c r="F31" s="286">
        <f>IF(V33&gt;0,V33,0)</f>
        <v>3.3333333333333335</v>
      </c>
      <c r="G31" s="266" t="s">
        <v>1147</v>
      </c>
      <c r="U31" s="265" t="s">
        <v>757</v>
      </c>
      <c r="V31" s="310">
        <f>(((V16*G26)/100)*1.2)*0.7</f>
        <v>84</v>
      </c>
    </row>
    <row r="32" spans="4:23" ht="15" customHeight="1" x14ac:dyDescent="0.2"/>
    <row r="33" spans="4:23" ht="15" customHeight="1" x14ac:dyDescent="0.25">
      <c r="E33" s="164" t="s">
        <v>1654</v>
      </c>
      <c r="U33" s="266" t="s">
        <v>25</v>
      </c>
      <c r="V33" s="396">
        <f>G17*(70-G18)/G20</f>
        <v>3.3333333333333335</v>
      </c>
      <c r="W33" s="266" t="s">
        <v>349</v>
      </c>
    </row>
    <row r="34" spans="4:23" ht="15" customHeight="1" x14ac:dyDescent="0.2">
      <c r="E34" s="286">
        <f>V21</f>
        <v>2.8571428571428577</v>
      </c>
      <c r="F34" s="266" t="s">
        <v>1151</v>
      </c>
    </row>
    <row r="35" spans="4:23" ht="15" customHeight="1" x14ac:dyDescent="0.2">
      <c r="E35" s="276">
        <f>(V41/7000)*1000</f>
        <v>211.78571428571431</v>
      </c>
      <c r="F35" s="266" t="s">
        <v>400</v>
      </c>
      <c r="I35" s="257"/>
    </row>
    <row r="36" spans="4:23" ht="15" customHeight="1" x14ac:dyDescent="0.2"/>
    <row r="37" spans="4:23" ht="15" customHeight="1" x14ac:dyDescent="0.25">
      <c r="E37" s="164" t="s">
        <v>1658</v>
      </c>
      <c r="V37" s="310"/>
    </row>
    <row r="38" spans="4:23" ht="15" customHeight="1" x14ac:dyDescent="0.2">
      <c r="E38" s="276">
        <v>400</v>
      </c>
      <c r="F38" s="49" t="s">
        <v>1832</v>
      </c>
      <c r="T38" s="266" t="s">
        <v>1</v>
      </c>
      <c r="V38" s="265" t="str">
        <f>IF(G12&lt;50,"400",IF(AND(G12&gt;=50,G12&lt;100),"300",IF(AND(G12&gt;=100,G12&lt;200),"200",0)))</f>
        <v>400</v>
      </c>
      <c r="W38" s="266" t="s">
        <v>1010</v>
      </c>
    </row>
    <row r="39" spans="4:23" ht="15" customHeight="1" x14ac:dyDescent="0.2">
      <c r="E39" s="49" t="s">
        <v>1831</v>
      </c>
      <c r="T39" s="266" t="s">
        <v>2</v>
      </c>
      <c r="V39" s="310">
        <f>V38-V30</f>
        <v>296.5</v>
      </c>
      <c r="W39" s="266" t="s">
        <v>6</v>
      </c>
    </row>
    <row r="40" spans="4:23" ht="15" customHeight="1" x14ac:dyDescent="0.2">
      <c r="D40" s="276"/>
      <c r="E40" s="49" t="s">
        <v>1829</v>
      </c>
      <c r="T40" s="266" t="s">
        <v>0</v>
      </c>
      <c r="V40" s="310">
        <f>(V39*5)</f>
        <v>1482.5</v>
      </c>
      <c r="W40" s="266" t="s">
        <v>7</v>
      </c>
    </row>
    <row r="41" spans="4:23" ht="15" customHeight="1" x14ac:dyDescent="0.2">
      <c r="E41" s="49" t="s">
        <v>1830</v>
      </c>
      <c r="T41" s="266" t="s">
        <v>3</v>
      </c>
      <c r="V41" s="310">
        <f>IF(V40&gt;0,V40,0)</f>
        <v>1482.5</v>
      </c>
      <c r="W41" s="266" t="s">
        <v>7</v>
      </c>
    </row>
    <row r="42" spans="4:23" ht="15" customHeight="1" x14ac:dyDescent="0.2">
      <c r="E42" s="266" t="s">
        <v>1659</v>
      </c>
      <c r="V42" s="310"/>
    </row>
    <row r="43" spans="4:23" ht="15" customHeight="1" x14ac:dyDescent="0.2">
      <c r="Q43" s="310"/>
    </row>
    <row r="44" spans="4:23" ht="15" customHeight="1" x14ac:dyDescent="0.2">
      <c r="D44" s="219"/>
    </row>
    <row r="45" spans="4:23" ht="15" customHeight="1" x14ac:dyDescent="0.2"/>
    <row r="46" spans="4:23" ht="15" customHeight="1" x14ac:dyDescent="0.2"/>
    <row r="47" spans="4:23" ht="15" customHeight="1" x14ac:dyDescent="0.2"/>
    <row r="48" spans="4:23" ht="15" customHeight="1" x14ac:dyDescent="0.2"/>
    <row r="49" spans="4:11" ht="15" customHeight="1" x14ac:dyDescent="0.2"/>
    <row r="50" spans="4:11" ht="15" customHeight="1" x14ac:dyDescent="0.2"/>
    <row r="51" spans="4:11" ht="15" customHeight="1" x14ac:dyDescent="0.2"/>
    <row r="52" spans="4:11" ht="15" customHeight="1" x14ac:dyDescent="0.2"/>
    <row r="53" spans="4:11" ht="15" customHeight="1" x14ac:dyDescent="0.2"/>
    <row r="54" spans="4:11" ht="15" customHeight="1" x14ac:dyDescent="0.2"/>
    <row r="55" spans="4:11" ht="15" customHeight="1" x14ac:dyDescent="0.2"/>
    <row r="56" spans="4:11" ht="15" customHeight="1" x14ac:dyDescent="0.2"/>
    <row r="57" spans="4:11" ht="15" customHeight="1" x14ac:dyDescent="0.2">
      <c r="D57" s="265" t="s">
        <v>891</v>
      </c>
      <c r="E57" s="715"/>
      <c r="F57" s="715"/>
      <c r="G57" s="266" t="s">
        <v>1152</v>
      </c>
    </row>
    <row r="58" spans="4:11" ht="15" customHeight="1" x14ac:dyDescent="0.2">
      <c r="H58" s="714"/>
      <c r="I58" s="714"/>
      <c r="J58" s="714"/>
      <c r="K58" s="714"/>
    </row>
    <row r="59" spans="4:11" ht="15" hidden="1" customHeight="1" x14ac:dyDescent="0.2">
      <c r="D59" s="256"/>
    </row>
  </sheetData>
  <sheetProtection algorithmName="SHA-512" hashValue="K/1uSZZsrVtME9U7RgcgTwESZTeSV5Wmrwe6YtDx+FH2PW+9ZyKuYX+OU4XhI7YqaMKVlT642BdeaVyRXjuN9w==" saltValue="AF8yCSOcYeodSaVNqZJ4yw==" spinCount="100000" sheet="1" objects="1" scenarios="1"/>
  <mergeCells count="7">
    <mergeCell ref="H58:K58"/>
    <mergeCell ref="E9:M9"/>
    <mergeCell ref="E10:M10"/>
    <mergeCell ref="D6:M6"/>
    <mergeCell ref="E57:F57"/>
    <mergeCell ref="K25:N25"/>
    <mergeCell ref="D7:M7"/>
  </mergeCells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2">
    <pageSetUpPr fitToPage="1"/>
  </sheetPr>
  <dimension ref="A1:AD64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30" width="0" style="266" hidden="1" customWidth="1"/>
    <col min="31" max="16384" width="9.140625" style="266" hidden="1"/>
  </cols>
  <sheetData>
    <row r="1" spans="1:2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8" ht="24.95" customHeight="1" x14ac:dyDescent="0.2">
      <c r="C6" s="699" t="s">
        <v>1994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8" ht="15" customHeight="1" x14ac:dyDescent="0.2">
      <c r="X7" s="26"/>
      <c r="Y7" s="26"/>
      <c r="Z7" s="26"/>
      <c r="AA7" s="26"/>
      <c r="AB7" s="26"/>
    </row>
    <row r="8" spans="1:28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X8" s="26"/>
      <c r="Y8" s="26"/>
      <c r="Z8" s="26"/>
      <c r="AA8" s="26"/>
      <c r="AB8" s="26"/>
    </row>
    <row r="9" spans="1:28" ht="15" customHeight="1" x14ac:dyDescent="0.2">
      <c r="X9" s="26"/>
      <c r="Y9" s="26"/>
      <c r="Z9" s="26"/>
      <c r="AA9" s="26"/>
      <c r="AB9" s="26"/>
    </row>
    <row r="10" spans="1:28" ht="15" customHeight="1" x14ac:dyDescent="0.25">
      <c r="D10" s="170" t="s">
        <v>580</v>
      </c>
      <c r="E10" s="309"/>
      <c r="G10" s="5">
        <v>2</v>
      </c>
      <c r="H10" s="170" t="s">
        <v>575</v>
      </c>
      <c r="I10" s="309"/>
      <c r="J10" s="309"/>
      <c r="K10" s="309"/>
      <c r="X10" s="26"/>
      <c r="Y10" s="26"/>
      <c r="Z10" s="26"/>
      <c r="AA10" s="26"/>
      <c r="AB10" s="26"/>
    </row>
    <row r="11" spans="1:28" ht="15" customHeight="1" x14ac:dyDescent="0.2">
      <c r="D11" s="49"/>
      <c r="H11" s="49"/>
      <c r="X11" s="26"/>
      <c r="Y11" s="26"/>
      <c r="Z11" s="26"/>
      <c r="AA11" s="26"/>
      <c r="AB11" s="26"/>
    </row>
    <row r="12" spans="1:28" ht="15" customHeight="1" x14ac:dyDescent="0.2">
      <c r="D12" s="49" t="s">
        <v>190</v>
      </c>
      <c r="G12" s="237">
        <v>0.5</v>
      </c>
      <c r="H12" s="49" t="s">
        <v>486</v>
      </c>
      <c r="I12" s="263"/>
      <c r="X12" s="26"/>
      <c r="Y12" s="325">
        <f>10000/(G12)</f>
        <v>20000</v>
      </c>
      <c r="Z12" s="26" t="s">
        <v>673</v>
      </c>
      <c r="AA12" s="26"/>
      <c r="AB12" s="26"/>
    </row>
    <row r="13" spans="1:28" ht="15" customHeight="1" x14ac:dyDescent="0.2">
      <c r="D13" s="49"/>
      <c r="G13" s="265"/>
      <c r="H13" s="49"/>
      <c r="I13" s="271"/>
      <c r="X13" s="26"/>
      <c r="Y13" s="26"/>
      <c r="Z13" s="26"/>
      <c r="AA13" s="26"/>
      <c r="AB13" s="26"/>
    </row>
    <row r="14" spans="1:28" ht="15" customHeight="1" x14ac:dyDescent="0.2">
      <c r="D14" s="49" t="s">
        <v>338</v>
      </c>
      <c r="G14" s="237">
        <v>4</v>
      </c>
      <c r="H14" s="49" t="s">
        <v>1953</v>
      </c>
      <c r="I14" s="271"/>
      <c r="X14" s="26"/>
      <c r="Y14" s="26"/>
      <c r="Z14" s="26"/>
      <c r="AA14" s="26"/>
      <c r="AB14" s="26"/>
    </row>
    <row r="15" spans="1:28" ht="15" customHeight="1" x14ac:dyDescent="0.2">
      <c r="D15" s="49"/>
      <c r="G15" s="237">
        <v>60</v>
      </c>
      <c r="H15" s="49" t="s">
        <v>1933</v>
      </c>
      <c r="I15" s="271"/>
      <c r="X15" s="26"/>
      <c r="Y15" s="26"/>
      <c r="Z15" s="26"/>
      <c r="AA15" s="26"/>
      <c r="AB15" s="26"/>
    </row>
    <row r="16" spans="1:28" ht="15" customHeight="1" x14ac:dyDescent="0.2">
      <c r="D16" s="49"/>
      <c r="G16" s="237">
        <v>6</v>
      </c>
      <c r="H16" s="49" t="s">
        <v>1934</v>
      </c>
      <c r="I16" s="271"/>
      <c r="X16" s="26"/>
      <c r="Y16" s="26"/>
      <c r="Z16" s="26"/>
      <c r="AA16" s="26"/>
      <c r="AB16" s="26"/>
    </row>
    <row r="17" spans="4:28" ht="15" customHeight="1" x14ac:dyDescent="0.2">
      <c r="D17" s="49"/>
      <c r="G17" s="237">
        <v>20</v>
      </c>
      <c r="H17" s="49" t="s">
        <v>1929</v>
      </c>
      <c r="I17" s="271"/>
      <c r="X17" s="26"/>
      <c r="Y17" s="315">
        <f xml:space="preserve"> G16*(70-G17)/G19</f>
        <v>3.3333333333333335</v>
      </c>
      <c r="Z17" s="26" t="s">
        <v>119</v>
      </c>
      <c r="AA17" s="26"/>
      <c r="AB17" s="26"/>
    </row>
    <row r="18" spans="4:28" ht="15" customHeight="1" x14ac:dyDescent="0.2">
      <c r="D18" s="49"/>
      <c r="G18" s="265"/>
      <c r="H18" s="49"/>
      <c r="I18" s="271"/>
      <c r="X18" s="26"/>
      <c r="Y18" s="26"/>
      <c r="Z18" s="26"/>
      <c r="AA18" s="26"/>
      <c r="AB18" s="26"/>
    </row>
    <row r="19" spans="4:28" ht="15" customHeight="1" x14ac:dyDescent="0.2">
      <c r="D19" s="49" t="s">
        <v>340</v>
      </c>
      <c r="G19" s="237">
        <v>90</v>
      </c>
      <c r="H19" s="49" t="s">
        <v>341</v>
      </c>
      <c r="I19" s="271"/>
      <c r="X19" s="26"/>
      <c r="Y19" s="171" t="str">
        <f>IF(G14&lt;10,"120",IF(AND(G14&gt;=10,G14&lt;30),"60",20))</f>
        <v>120</v>
      </c>
      <c r="Z19" s="26" t="s">
        <v>344</v>
      </c>
      <c r="AA19" s="26"/>
      <c r="AB19" s="26"/>
    </row>
    <row r="20" spans="4:28" ht="15" customHeight="1" x14ac:dyDescent="0.2">
      <c r="G20" s="265"/>
      <c r="X20" s="26"/>
      <c r="Y20" s="171">
        <v>50</v>
      </c>
      <c r="Z20" s="26" t="s">
        <v>346</v>
      </c>
      <c r="AA20" s="26"/>
      <c r="AB20" s="26"/>
    </row>
    <row r="21" spans="4:28" ht="15" customHeight="1" x14ac:dyDescent="0.25">
      <c r="D21" s="291" t="s">
        <v>371</v>
      </c>
      <c r="E21" s="302"/>
      <c r="F21" s="302"/>
      <c r="G21" s="302"/>
      <c r="H21" s="302"/>
      <c r="X21" s="26"/>
      <c r="Y21" s="171"/>
      <c r="Z21" s="26"/>
      <c r="AA21" s="26"/>
      <c r="AB21" s="26"/>
    </row>
    <row r="22" spans="4:28" ht="15" customHeight="1" x14ac:dyDescent="0.2">
      <c r="D22" s="49" t="s">
        <v>573</v>
      </c>
      <c r="G22" s="286">
        <f>IF(Y17&gt;0,Y17,0)</f>
        <v>3.3333333333333335</v>
      </c>
      <c r="H22" s="170" t="s">
        <v>488</v>
      </c>
      <c r="I22" s="49"/>
      <c r="J22" s="49"/>
      <c r="K22" s="49"/>
      <c r="L22" s="49"/>
      <c r="M22" s="49"/>
      <c r="N22" s="49"/>
      <c r="X22" s="26"/>
      <c r="Y22" s="171"/>
      <c r="Z22" s="26"/>
      <c r="AA22" s="26"/>
      <c r="AB22" s="26"/>
    </row>
    <row r="23" spans="4:28" ht="15" customHeight="1" x14ac:dyDescent="0.2">
      <c r="D23" s="49"/>
      <c r="E23" s="49"/>
      <c r="F23" s="49"/>
      <c r="G23" s="49"/>
      <c r="H23" s="171"/>
      <c r="I23" s="325"/>
      <c r="J23" s="171"/>
      <c r="K23" s="49"/>
      <c r="L23" s="49"/>
      <c r="M23" s="49"/>
      <c r="N23" s="49"/>
      <c r="X23" s="26"/>
      <c r="Y23" s="171"/>
      <c r="Z23" s="26"/>
      <c r="AA23" s="26"/>
      <c r="AB23" s="26"/>
    </row>
    <row r="24" spans="4:28" ht="15" customHeight="1" x14ac:dyDescent="0.2">
      <c r="D24" s="49" t="s">
        <v>489</v>
      </c>
      <c r="E24" s="169"/>
      <c r="F24" s="49"/>
      <c r="G24" s="276">
        <f>Y24</f>
        <v>60</v>
      </c>
      <c r="H24" s="273" t="s">
        <v>343</v>
      </c>
      <c r="I24" s="325"/>
      <c r="J24" s="171"/>
      <c r="K24" s="49"/>
      <c r="L24" s="49"/>
      <c r="M24" s="49"/>
      <c r="N24" s="49"/>
      <c r="X24" s="26"/>
      <c r="Y24" s="171">
        <v>60</v>
      </c>
      <c r="Z24" s="26" t="s">
        <v>652</v>
      </c>
      <c r="AA24" s="26"/>
      <c r="AB24" s="26"/>
    </row>
    <row r="25" spans="4:28" ht="15" customHeight="1" x14ac:dyDescent="0.2">
      <c r="D25" s="49"/>
      <c r="E25" s="49"/>
      <c r="F25" s="49"/>
      <c r="G25" s="276" t="str">
        <f>Y19</f>
        <v>120</v>
      </c>
      <c r="H25" s="273" t="s">
        <v>344</v>
      </c>
      <c r="I25" s="325"/>
      <c r="J25" s="171"/>
      <c r="K25" s="49"/>
      <c r="L25" s="49"/>
      <c r="M25" s="49"/>
      <c r="N25" s="49"/>
      <c r="X25" s="26"/>
      <c r="Y25" s="26"/>
      <c r="Z25" s="26"/>
      <c r="AA25" s="26"/>
      <c r="AB25" s="26"/>
    </row>
    <row r="26" spans="4:28" ht="15" customHeight="1" x14ac:dyDescent="0.2">
      <c r="D26" s="49"/>
      <c r="E26" s="49"/>
      <c r="F26" s="49"/>
      <c r="G26" s="257" t="str">
        <f>IF(G15&lt;60,"60",IF(AND(G15&gt;=60,G15&lt;120),"40","0"))</f>
        <v>40</v>
      </c>
      <c r="H26" s="273" t="s">
        <v>345</v>
      </c>
      <c r="I26" s="325"/>
      <c r="J26" s="171"/>
      <c r="K26" s="49"/>
      <c r="L26" s="49"/>
      <c r="M26" s="49"/>
      <c r="N26" s="49"/>
      <c r="X26" s="26"/>
      <c r="Y26" s="26"/>
      <c r="Z26" s="26"/>
      <c r="AA26" s="26"/>
      <c r="AB26" s="26"/>
    </row>
    <row r="27" spans="4:28" ht="15" customHeight="1" x14ac:dyDescent="0.2">
      <c r="D27" s="49"/>
      <c r="E27" s="49"/>
      <c r="F27" s="49"/>
      <c r="G27" s="49"/>
      <c r="H27" s="171"/>
      <c r="I27" s="325"/>
      <c r="J27" s="171"/>
      <c r="K27" s="49"/>
      <c r="L27" s="49"/>
      <c r="M27" s="49"/>
      <c r="N27" s="49"/>
      <c r="X27" s="26"/>
      <c r="Y27" s="26"/>
      <c r="Z27" s="26"/>
      <c r="AA27" s="26"/>
      <c r="AB27" s="26"/>
    </row>
    <row r="28" spans="4:28" ht="15" customHeight="1" x14ac:dyDescent="0.2">
      <c r="D28" s="49" t="s">
        <v>1137</v>
      </c>
      <c r="E28" s="49"/>
      <c r="G28" s="224">
        <f>((Y19*5)/Y12)*1000</f>
        <v>30</v>
      </c>
      <c r="H28" s="49" t="s">
        <v>1314</v>
      </c>
      <c r="I28" s="171"/>
      <c r="J28" s="26"/>
      <c r="K28" s="49"/>
      <c r="L28" s="26"/>
      <c r="M28" s="49"/>
      <c r="N28" s="49"/>
      <c r="X28" s="26"/>
      <c r="Y28" s="26"/>
      <c r="Z28" s="26"/>
      <c r="AA28" s="26"/>
      <c r="AB28" s="26"/>
    </row>
    <row r="29" spans="4:28" ht="15" customHeight="1" x14ac:dyDescent="0.2">
      <c r="D29" s="49"/>
      <c r="E29" s="49"/>
      <c r="G29" s="224">
        <f>((Y20)/Y12)*1000</f>
        <v>2.5</v>
      </c>
      <c r="H29" s="49" t="s">
        <v>1315</v>
      </c>
      <c r="I29" s="171"/>
      <c r="J29" s="26"/>
      <c r="K29" s="49"/>
      <c r="L29" s="26"/>
      <c r="M29" s="49"/>
      <c r="N29" s="49"/>
      <c r="X29" s="26"/>
      <c r="Y29" s="26"/>
      <c r="Z29" s="26"/>
      <c r="AA29" s="26"/>
      <c r="AB29" s="26"/>
    </row>
    <row r="30" spans="4:28" ht="15" customHeight="1" x14ac:dyDescent="0.2">
      <c r="D30" s="49"/>
      <c r="E30" s="49"/>
      <c r="F30" s="224"/>
      <c r="G30" s="49"/>
      <c r="H30" s="171"/>
      <c r="I30" s="325"/>
      <c r="J30" s="26"/>
      <c r="K30" s="49"/>
      <c r="L30" s="26"/>
      <c r="M30" s="49"/>
      <c r="N30" s="49"/>
      <c r="X30" s="26"/>
      <c r="Y30" s="26"/>
      <c r="Z30" s="26"/>
      <c r="AA30" s="26"/>
      <c r="AB30" s="26"/>
    </row>
    <row r="31" spans="4:28" ht="15" customHeight="1" x14ac:dyDescent="0.2">
      <c r="D31" s="49" t="s">
        <v>342</v>
      </c>
      <c r="E31" s="49"/>
      <c r="F31" s="26"/>
      <c r="G31" s="49" t="str">
        <f>"3 aplicações de "&amp;Y31&amp;" g/m de sulco de "&amp;Z31&amp;"."</f>
        <v>3 aplicações de 5 g/m de sulco de 20-00-10.</v>
      </c>
      <c r="H31" s="49"/>
      <c r="I31" s="49"/>
      <c r="J31" s="49"/>
      <c r="K31" s="49"/>
      <c r="L31" s="49"/>
      <c r="M31" s="49"/>
      <c r="N31" s="49"/>
      <c r="X31" s="26"/>
      <c r="Y31" s="325">
        <f>((1000*(Y24*5)/Y12))/3</f>
        <v>5</v>
      </c>
      <c r="Z31" s="273" t="str">
        <f>IF(G15&lt;60,"20-00-20",IF(AND(G15&gt;=60,G15&lt;120),"20-00-10","Sultato de Amônio"))</f>
        <v>20-00-10</v>
      </c>
      <c r="AA31" s="26"/>
      <c r="AB31" s="26"/>
    </row>
    <row r="32" spans="4:28" ht="15" customHeight="1" x14ac:dyDescent="0.2">
      <c r="D32" s="332"/>
      <c r="E32" s="332"/>
      <c r="F32" s="332"/>
      <c r="G32" s="346"/>
      <c r="H32" s="332"/>
      <c r="I32" s="347"/>
      <c r="J32" s="332"/>
      <c r="K32" s="332"/>
      <c r="L32" s="26"/>
      <c r="M32" s="26"/>
      <c r="N32" s="49"/>
      <c r="X32" s="26"/>
      <c r="Y32" s="26"/>
      <c r="Z32" s="26"/>
      <c r="AA32" s="26"/>
      <c r="AB32" s="26"/>
    </row>
    <row r="33" spans="4:28" ht="15" customHeight="1" x14ac:dyDescent="0.2">
      <c r="D33" s="219" t="s">
        <v>1997</v>
      </c>
      <c r="E33" s="49"/>
      <c r="F33" s="26"/>
      <c r="G33" s="256">
        <f>ROUND((G22*20)*G10,)</f>
        <v>133</v>
      </c>
      <c r="H33" s="49" t="s">
        <v>288</v>
      </c>
      <c r="I33" s="348"/>
      <c r="J33" s="26"/>
      <c r="K33" s="26"/>
      <c r="L33" s="26"/>
      <c r="M33" s="26"/>
      <c r="N33" s="49"/>
      <c r="X33" s="26"/>
      <c r="Y33" s="26"/>
      <c r="Z33" s="26"/>
      <c r="AA33" s="26"/>
      <c r="AB33" s="26"/>
    </row>
    <row r="34" spans="4:28" ht="15" customHeight="1" x14ac:dyDescent="0.2">
      <c r="D34" s="49"/>
      <c r="E34" s="49"/>
      <c r="F34" s="26"/>
      <c r="G34" s="171">
        <f>(((G28*Y12)/1000)/50)*G10</f>
        <v>24</v>
      </c>
      <c r="H34" s="49" t="s">
        <v>1134</v>
      </c>
      <c r="I34" s="348"/>
      <c r="J34" s="26"/>
      <c r="K34" s="26"/>
      <c r="L34" s="26"/>
      <c r="M34" s="26"/>
      <c r="N34" s="49"/>
    </row>
    <row r="35" spans="4:28" ht="15" customHeight="1" x14ac:dyDescent="0.2">
      <c r="D35" s="49"/>
      <c r="E35" s="49"/>
      <c r="F35" s="26"/>
      <c r="G35" s="171">
        <f>((((Y31)*3*Y12)/1000)/50)*G10</f>
        <v>12</v>
      </c>
      <c r="H35" s="49" t="s">
        <v>1135</v>
      </c>
      <c r="I35" s="348"/>
      <c r="J35" s="26"/>
      <c r="K35" s="26"/>
      <c r="L35" s="26"/>
      <c r="M35" s="26"/>
      <c r="N35" s="49"/>
    </row>
    <row r="36" spans="4:28" ht="15" customHeight="1" x14ac:dyDescent="0.2">
      <c r="D36" s="332"/>
      <c r="E36" s="332"/>
      <c r="F36" s="332"/>
      <c r="G36" s="258">
        <f>(((G29*Y12)/1000)/50)*G10</f>
        <v>2</v>
      </c>
      <c r="H36" s="332" t="s">
        <v>1136</v>
      </c>
      <c r="I36" s="347"/>
      <c r="J36" s="332"/>
      <c r="K36" s="332"/>
      <c r="L36" s="26"/>
      <c r="M36" s="26"/>
      <c r="N36" s="49"/>
    </row>
    <row r="37" spans="4:28" ht="15" customHeight="1" x14ac:dyDescent="0.2">
      <c r="D37" s="27"/>
      <c r="E37" s="27"/>
      <c r="F37" s="27"/>
      <c r="G37" s="263"/>
      <c r="H37" s="27"/>
      <c r="I37" s="333"/>
      <c r="J37" s="27"/>
      <c r="K37" s="27"/>
      <c r="L37" s="27"/>
      <c r="M37" s="27"/>
    </row>
    <row r="38" spans="4:28" ht="15" customHeight="1" x14ac:dyDescent="0.2">
      <c r="D38" s="169"/>
      <c r="G38" s="265"/>
    </row>
    <row r="39" spans="4:28" ht="15" customHeight="1" x14ac:dyDescent="0.2">
      <c r="D39" s="169"/>
    </row>
    <row r="40" spans="4:28" ht="15" customHeight="1" x14ac:dyDescent="0.2">
      <c r="D40" s="213"/>
    </row>
    <row r="41" spans="4:28" ht="15" customHeight="1" x14ac:dyDescent="0.2">
      <c r="D41" s="169"/>
    </row>
    <row r="42" spans="4:28" ht="15" customHeight="1" x14ac:dyDescent="0.2"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4:28" ht="15" customHeight="1" x14ac:dyDescent="0.2"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4:28" ht="15" customHeight="1" x14ac:dyDescent="0.2"/>
    <row r="45" spans="4:28" ht="15" customHeight="1" x14ac:dyDescent="0.2">
      <c r="D45" s="267"/>
      <c r="E45" s="213"/>
      <c r="F45" s="267"/>
      <c r="G45" s="294"/>
      <c r="H45" s="294"/>
      <c r="I45" s="213"/>
      <c r="J45" s="213"/>
      <c r="K45" s="213"/>
      <c r="L45" s="213"/>
    </row>
    <row r="46" spans="4:28" ht="15" customHeight="1" x14ac:dyDescent="0.2">
      <c r="D46" s="267"/>
      <c r="E46" s="213"/>
      <c r="F46" s="267"/>
      <c r="G46" s="294"/>
      <c r="H46" s="294"/>
      <c r="I46" s="213"/>
      <c r="J46" s="213"/>
      <c r="K46" s="213"/>
      <c r="L46" s="213"/>
    </row>
    <row r="47" spans="4:28" ht="15" customHeight="1" x14ac:dyDescent="0.2">
      <c r="D47" s="292" t="s">
        <v>891</v>
      </c>
      <c r="E47" s="771">
        <f ca="1">TODAY()</f>
        <v>45064</v>
      </c>
      <c r="F47" s="772"/>
      <c r="G47" s="60" t="s">
        <v>373</v>
      </c>
      <c r="H47" s="60"/>
      <c r="I47" s="60"/>
      <c r="J47" s="60"/>
      <c r="K47" s="60"/>
      <c r="N47" s="60"/>
    </row>
    <row r="48" spans="4:28" ht="15" customHeight="1" x14ac:dyDescent="0.2">
      <c r="D48" s="267"/>
      <c r="E48" s="213"/>
      <c r="F48" s="267"/>
      <c r="G48" s="294"/>
      <c r="H48" s="294"/>
      <c r="I48" s="213"/>
      <c r="J48" s="213"/>
      <c r="K48" s="213"/>
      <c r="L48" s="213"/>
    </row>
    <row r="49" spans="4:5" s="60" customFormat="1" ht="15" hidden="1" customHeight="1" x14ac:dyDescent="0.2"/>
    <row r="50" spans="4:5" s="60" customFormat="1" ht="15" hidden="1" customHeight="1" x14ac:dyDescent="0.2">
      <c r="D50" s="267"/>
    </row>
    <row r="51" spans="4:5" s="60" customFormat="1" ht="15" hidden="1" customHeight="1" x14ac:dyDescent="0.2">
      <c r="D51" s="267"/>
    </row>
    <row r="52" spans="4:5" s="60" customFormat="1" ht="15" hidden="1" customHeight="1" x14ac:dyDescent="0.2">
      <c r="D52" s="267"/>
    </row>
    <row r="53" spans="4:5" s="60" customFormat="1" ht="15" hidden="1" customHeight="1" x14ac:dyDescent="0.2">
      <c r="D53" s="267"/>
    </row>
    <row r="54" spans="4:5" s="60" customFormat="1" ht="15" hidden="1" customHeight="1" x14ac:dyDescent="0.2">
      <c r="D54" s="267"/>
    </row>
    <row r="55" spans="4:5" s="60" customFormat="1" ht="15" hidden="1" customHeight="1" x14ac:dyDescent="0.2">
      <c r="D55" s="267"/>
      <c r="E55" s="111"/>
    </row>
    <row r="56" spans="4:5" s="60" customFormat="1" ht="15" hidden="1" customHeight="1" x14ac:dyDescent="0.2">
      <c r="D56" s="267"/>
      <c r="E56" s="111"/>
    </row>
    <row r="57" spans="4:5" ht="15" hidden="1" customHeight="1" x14ac:dyDescent="0.2"/>
    <row r="58" spans="4:5" ht="15" hidden="1" customHeight="1" x14ac:dyDescent="0.2"/>
    <row r="59" spans="4:5" ht="15" hidden="1" customHeight="1" x14ac:dyDescent="0.2"/>
    <row r="60" spans="4:5" ht="15" hidden="1" customHeight="1" x14ac:dyDescent="0.2"/>
    <row r="61" spans="4:5" ht="15" hidden="1" customHeight="1" x14ac:dyDescent="0.2"/>
    <row r="62" spans="4:5" ht="15" hidden="1" customHeight="1" x14ac:dyDescent="0.2"/>
    <row r="63" spans="4:5" ht="15" hidden="1" customHeight="1" x14ac:dyDescent="0.2"/>
    <row r="64" spans="4:5" ht="15" customHeight="1" x14ac:dyDescent="0.2"/>
  </sheetData>
  <sheetProtection algorithmName="SHA-512" hashValue="pVW0Fi2eSDYa2dqYl6O9SLdmSbOr4bHXxcQG5Yof9tm2EFoUA4zd4O+sC9xBPbEppR8CbQa5+WgPYD3Ro/4STQ==" saltValue="U0Zv4rQSuZaDg/hw1bK0Jw==" spinCount="100000" sheet="1" objects="1" scenarios="1" selectLockedCells="1"/>
  <mergeCells count="3">
    <mergeCell ref="E47:F47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rowBreaks count="1" manualBreakCount="1">
    <brk id="52" min="2" max="14" man="1"/>
  </rowBreaks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3">
    <pageSetUpPr fitToPage="1"/>
  </sheetPr>
  <dimension ref="A1:Z55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1993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C9" s="309"/>
      <c r="D9" s="309"/>
      <c r="E9" s="309"/>
      <c r="F9" s="337"/>
      <c r="G9" s="309"/>
      <c r="H9" s="309"/>
      <c r="I9" s="309"/>
      <c r="J9" s="309"/>
    </row>
    <row r="10" spans="1:16" s="169" customFormat="1" ht="15" customHeight="1" x14ac:dyDescent="0.2">
      <c r="D10" s="305" t="s">
        <v>580</v>
      </c>
      <c r="E10" s="257"/>
      <c r="G10" s="5">
        <v>3.8</v>
      </c>
      <c r="H10" s="305" t="s">
        <v>575</v>
      </c>
      <c r="I10" s="257"/>
      <c r="J10" s="257"/>
      <c r="K10" s="257"/>
    </row>
    <row r="11" spans="1:16" s="169" customFormat="1" ht="15" customHeight="1" x14ac:dyDescent="0.2">
      <c r="D11" s="170" t="s">
        <v>1999</v>
      </c>
      <c r="E11" s="257"/>
      <c r="G11" s="5">
        <v>20</v>
      </c>
      <c r="H11" s="305"/>
      <c r="I11" s="257"/>
      <c r="J11" s="257"/>
      <c r="K11" s="257"/>
    </row>
    <row r="12" spans="1:16" ht="15" customHeight="1" x14ac:dyDescent="0.25">
      <c r="D12" s="309"/>
      <c r="E12" s="309"/>
      <c r="F12" s="309"/>
      <c r="G12" s="309"/>
      <c r="H12" s="309"/>
      <c r="I12" s="309"/>
      <c r="J12" s="309"/>
      <c r="K12" s="309"/>
    </row>
    <row r="13" spans="1:16" ht="15" customHeight="1" x14ac:dyDescent="0.2">
      <c r="D13" s="266" t="s">
        <v>338</v>
      </c>
      <c r="G13" s="237">
        <v>3</v>
      </c>
      <c r="H13" s="49" t="s">
        <v>1953</v>
      </c>
      <c r="I13" s="271"/>
      <c r="L13" s="271"/>
    </row>
    <row r="14" spans="1:16" ht="15" customHeight="1" x14ac:dyDescent="0.2">
      <c r="G14" s="237">
        <v>199</v>
      </c>
      <c r="H14" s="49" t="s">
        <v>1933</v>
      </c>
      <c r="I14" s="271"/>
    </row>
    <row r="15" spans="1:16" ht="15" customHeight="1" x14ac:dyDescent="0.2">
      <c r="G15" s="237">
        <v>5</v>
      </c>
      <c r="H15" s="49" t="s">
        <v>1934</v>
      </c>
      <c r="I15" s="271"/>
      <c r="K15" s="263"/>
    </row>
    <row r="16" spans="1:16" ht="15" customHeight="1" x14ac:dyDescent="0.2">
      <c r="G16" s="237">
        <v>74</v>
      </c>
      <c r="H16" s="49" t="s">
        <v>1929</v>
      </c>
      <c r="I16" s="271"/>
      <c r="K16" s="263"/>
    </row>
    <row r="17" spans="3:26" ht="15" customHeight="1" x14ac:dyDescent="0.2">
      <c r="F17" s="265"/>
      <c r="G17" s="271"/>
      <c r="H17" s="271"/>
    </row>
    <row r="18" spans="3:26" ht="15" customHeight="1" x14ac:dyDescent="0.2">
      <c r="D18" s="266" t="s">
        <v>340</v>
      </c>
      <c r="G18" s="237">
        <v>90</v>
      </c>
      <c r="H18" s="49" t="s">
        <v>341</v>
      </c>
    </row>
    <row r="19" spans="3:26" ht="15" customHeight="1" x14ac:dyDescent="0.2"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S19" s="49"/>
      <c r="T19" s="49"/>
    </row>
    <row r="20" spans="3:26" ht="15" customHeight="1" x14ac:dyDescent="0.25">
      <c r="C20" s="49"/>
      <c r="D20" s="291" t="s">
        <v>371</v>
      </c>
      <c r="E20" s="49"/>
      <c r="F20" s="49"/>
      <c r="G20" s="49"/>
      <c r="H20" s="49"/>
      <c r="I20" s="49"/>
      <c r="J20" s="49"/>
      <c r="K20" s="49"/>
      <c r="L20" s="49"/>
      <c r="M20" s="49"/>
      <c r="S20" s="49"/>
      <c r="T20" s="49"/>
      <c r="W20" s="315">
        <f xml:space="preserve"> G15*(70-G16)/G18</f>
        <v>-0.22222222222222221</v>
      </c>
      <c r="X20" s="26" t="s">
        <v>119</v>
      </c>
      <c r="Y20" s="26"/>
      <c r="Z20" s="26"/>
    </row>
    <row r="21" spans="3:26" ht="15" customHeight="1" x14ac:dyDescent="0.2">
      <c r="C21" s="49"/>
      <c r="D21" s="49" t="s">
        <v>573</v>
      </c>
      <c r="G21" s="286">
        <f>IF(W20&gt;0,W20,0)</f>
        <v>0</v>
      </c>
      <c r="H21" s="170" t="s">
        <v>1470</v>
      </c>
      <c r="I21" s="170"/>
      <c r="J21" s="49"/>
      <c r="K21" s="49"/>
      <c r="L21" s="49"/>
      <c r="M21" s="49"/>
      <c r="R21" s="26"/>
      <c r="S21" s="49"/>
      <c r="T21" s="49"/>
      <c r="W21" s="171" t="str">
        <f>IF(G13&lt;10,"80",IF(AND(G13&gt;=10,G13&lt;30),"50",0))</f>
        <v>80</v>
      </c>
      <c r="X21" s="26" t="s">
        <v>344</v>
      </c>
      <c r="Y21" s="26"/>
      <c r="Z21" s="26"/>
    </row>
    <row r="22" spans="3:26" ht="15" customHeight="1" x14ac:dyDescent="0.2">
      <c r="C22" s="49"/>
      <c r="D22" s="49"/>
      <c r="E22" s="49"/>
      <c r="F22" s="49"/>
      <c r="G22" s="49"/>
      <c r="H22" s="171"/>
      <c r="I22" s="325"/>
      <c r="J22" s="171"/>
      <c r="K22" s="49"/>
      <c r="L22" s="49"/>
      <c r="M22" s="49"/>
      <c r="R22" s="26"/>
      <c r="S22" s="49"/>
      <c r="T22" s="49"/>
      <c r="W22" s="171">
        <v>50</v>
      </c>
      <c r="X22" s="26" t="s">
        <v>346</v>
      </c>
      <c r="Y22" s="26"/>
      <c r="Z22" s="26"/>
    </row>
    <row r="23" spans="3:26" ht="15" customHeight="1" x14ac:dyDescent="0.2">
      <c r="C23" s="49"/>
      <c r="D23" s="49" t="s">
        <v>489</v>
      </c>
      <c r="E23" s="169"/>
      <c r="F23" s="49"/>
      <c r="G23" s="276">
        <f>W24</f>
        <v>263.15789473684214</v>
      </c>
      <c r="H23" s="273" t="s">
        <v>569</v>
      </c>
      <c r="I23" s="325"/>
      <c r="J23" s="171"/>
      <c r="K23" s="49"/>
      <c r="L23" s="49"/>
      <c r="M23" s="49"/>
      <c r="R23" s="26"/>
      <c r="S23" s="49"/>
      <c r="T23" s="49"/>
      <c r="W23" s="171"/>
      <c r="X23" s="26"/>
      <c r="Y23" s="26"/>
      <c r="Z23" s="26"/>
    </row>
    <row r="24" spans="3:26" ht="15" customHeight="1" x14ac:dyDescent="0.2">
      <c r="C24" s="49"/>
      <c r="D24" s="49"/>
      <c r="E24" s="49"/>
      <c r="F24" s="49"/>
      <c r="G24" s="276" t="str">
        <f>W21</f>
        <v>80</v>
      </c>
      <c r="H24" s="273" t="s">
        <v>1923</v>
      </c>
      <c r="I24" s="325"/>
      <c r="J24" s="171"/>
      <c r="K24" s="49"/>
      <c r="L24" s="49"/>
      <c r="M24" s="49"/>
      <c r="R24" s="26"/>
      <c r="S24" s="49"/>
      <c r="T24" s="49"/>
      <c r="W24" s="325">
        <f>(G11/G10)*50</f>
        <v>263.15789473684214</v>
      </c>
      <c r="X24" s="26" t="s">
        <v>652</v>
      </c>
      <c r="Y24" s="26"/>
      <c r="Z24" s="26"/>
    </row>
    <row r="25" spans="3:26" ht="15" customHeight="1" x14ac:dyDescent="0.2">
      <c r="C25" s="49"/>
      <c r="D25" s="49"/>
      <c r="E25" s="49"/>
      <c r="F25" s="49"/>
      <c r="G25" s="257" t="str">
        <f>IF(G14&lt;60,"200",IF(AND(G14&gt;=60,G14&lt;120),"100","0"))</f>
        <v>0</v>
      </c>
      <c r="H25" s="273" t="s">
        <v>1924</v>
      </c>
      <c r="I25" s="325"/>
      <c r="J25" s="171"/>
      <c r="K25" s="49"/>
      <c r="L25" s="49"/>
      <c r="M25" s="49"/>
      <c r="R25" s="26"/>
      <c r="S25" s="49"/>
      <c r="T25" s="49"/>
      <c r="W25" s="171">
        <f>W24*5</f>
        <v>1315.7894736842106</v>
      </c>
      <c r="X25" s="26" t="s">
        <v>1469</v>
      </c>
      <c r="Y25" s="26"/>
      <c r="Z25" s="26"/>
    </row>
    <row r="26" spans="3:26" ht="15" customHeight="1" x14ac:dyDescent="0.2">
      <c r="C26" s="49"/>
      <c r="E26" s="302"/>
      <c r="F26" s="302"/>
      <c r="G26" s="302"/>
      <c r="H26" s="302"/>
      <c r="I26" s="49"/>
      <c r="J26" s="49"/>
      <c r="K26" s="49"/>
      <c r="L26" s="49"/>
      <c r="M26" s="49"/>
      <c r="R26" s="26"/>
      <c r="S26" s="49"/>
      <c r="T26" s="49"/>
      <c r="W26" s="26"/>
      <c r="X26" s="26"/>
      <c r="Y26" s="26"/>
      <c r="Z26" s="26"/>
    </row>
    <row r="27" spans="3:26" ht="15" customHeight="1" x14ac:dyDescent="0.2">
      <c r="C27" s="49"/>
      <c r="D27" s="170" t="s">
        <v>2000</v>
      </c>
      <c r="E27" s="256"/>
      <c r="F27" s="49"/>
      <c r="G27" s="15">
        <v>6</v>
      </c>
      <c r="H27" s="256"/>
      <c r="I27" s="49"/>
      <c r="J27" s="49"/>
      <c r="K27" s="49"/>
      <c r="L27" s="49"/>
      <c r="M27" s="49"/>
      <c r="R27" s="26"/>
      <c r="S27" s="49"/>
      <c r="T27" s="49"/>
      <c r="W27" s="171">
        <v>20</v>
      </c>
      <c r="X27" s="325">
        <f>ROUND((W21*100)/W25,0)</f>
        <v>6</v>
      </c>
      <c r="Y27" s="325">
        <f>ROUND((G25*100)/W25,0)</f>
        <v>0</v>
      </c>
      <c r="Z27" s="26"/>
    </row>
    <row r="28" spans="3:26" ht="15" customHeight="1" x14ac:dyDescent="0.2">
      <c r="C28" s="49"/>
      <c r="D28" s="349" t="s">
        <v>2001</v>
      </c>
      <c r="E28" s="49"/>
      <c r="F28" s="26"/>
      <c r="G28" s="49"/>
      <c r="H28" s="49"/>
      <c r="I28" s="49"/>
      <c r="J28" s="49"/>
      <c r="K28" s="49"/>
      <c r="L28" s="49"/>
      <c r="M28" s="49"/>
      <c r="R28" s="26"/>
      <c r="S28" s="49"/>
      <c r="T28" s="49"/>
      <c r="W28" s="350">
        <f>ROUND(((W24*5)/10)/G27,0)</f>
        <v>22</v>
      </c>
      <c r="Z28" s="26"/>
    </row>
    <row r="29" spans="3:26" ht="15" customHeight="1" x14ac:dyDescent="0.2">
      <c r="C29" s="49"/>
      <c r="D29" s="257"/>
      <c r="E29" s="49" t="str">
        <f>G27&amp;" aplicações de "&amp;W28&amp;" g/m² de 20 - 0 - "&amp;Y27&amp;"."</f>
        <v>6 aplicações de 22 g/m² de 20 - 0 - 0.</v>
      </c>
      <c r="G29" s="273"/>
      <c r="H29" s="49"/>
      <c r="I29" s="222"/>
      <c r="J29" s="257"/>
      <c r="K29" s="224"/>
      <c r="L29" s="49"/>
      <c r="M29" s="49"/>
      <c r="R29" s="26"/>
      <c r="S29" s="256"/>
      <c r="T29" s="49"/>
      <c r="W29" s="325">
        <f>ROUND((W21*5)/40,0)</f>
        <v>10</v>
      </c>
      <c r="Z29" s="171"/>
    </row>
    <row r="30" spans="3:26" ht="15" customHeight="1" x14ac:dyDescent="0.2">
      <c r="C30" s="49"/>
      <c r="E30" s="170" t="str">
        <f>"4 aplicações de "&amp;W29&amp;"g/m2 de  Superfosfato Simples."</f>
        <v>4 aplicações de 10g/m2 de  Superfosfato Simples.</v>
      </c>
      <c r="F30" s="49"/>
      <c r="G30" s="49"/>
      <c r="H30" s="49"/>
      <c r="I30" s="49"/>
      <c r="J30" s="49"/>
      <c r="K30" s="49"/>
      <c r="L30" s="49"/>
      <c r="M30" s="49"/>
      <c r="R30" s="171"/>
      <c r="S30" s="49"/>
      <c r="T30" s="49"/>
    </row>
    <row r="31" spans="3:26" ht="15" customHeight="1" x14ac:dyDescent="0.2">
      <c r="C31" s="49"/>
      <c r="D31" s="49"/>
      <c r="E31" s="49"/>
      <c r="F31" s="49"/>
      <c r="G31" s="49"/>
      <c r="H31" s="49"/>
      <c r="I31" s="49"/>
      <c r="J31" s="49"/>
      <c r="K31" s="49"/>
      <c r="L31" s="26"/>
      <c r="M31" s="49"/>
      <c r="N31" s="49"/>
      <c r="O31" s="49"/>
      <c r="P31" s="49"/>
      <c r="Q31" s="49"/>
      <c r="R31" s="49"/>
      <c r="S31" s="49"/>
      <c r="T31" s="49"/>
    </row>
    <row r="32" spans="3:26" ht="15" customHeight="1" x14ac:dyDescent="0.2">
      <c r="C32" s="49"/>
      <c r="D32" s="349" t="s">
        <v>2003</v>
      </c>
      <c r="E32" s="49"/>
      <c r="F32" s="49"/>
      <c r="G32" s="49"/>
      <c r="H32" s="49"/>
      <c r="I32" s="49"/>
      <c r="J32" s="49"/>
      <c r="K32" s="49"/>
      <c r="L32" s="26"/>
      <c r="M32" s="49"/>
      <c r="N32" s="49"/>
      <c r="O32" s="49"/>
      <c r="P32" s="49"/>
      <c r="Q32" s="49"/>
      <c r="R32" s="49"/>
      <c r="S32" s="49"/>
      <c r="T32" s="49"/>
    </row>
    <row r="33" spans="3:20" ht="15" customHeight="1" x14ac:dyDescent="0.2">
      <c r="C33" s="49"/>
      <c r="D33" s="349"/>
      <c r="E33" s="49" t="str">
        <f>G27&amp;" aplicações de "&amp;W28&amp;" g/m² de 20 - "&amp;X27&amp;" - "&amp;Y27&amp;"."</f>
        <v>6 aplicações de 22 g/m² de 20 - 6 - 0.</v>
      </c>
      <c r="F33" s="49"/>
      <c r="G33" s="49"/>
      <c r="H33" s="49"/>
      <c r="I33" s="49"/>
      <c r="J33" s="49"/>
      <c r="K33" s="49"/>
      <c r="L33" s="26"/>
      <c r="M33" s="49"/>
      <c r="N33" s="49"/>
      <c r="O33" s="49"/>
      <c r="P33" s="49"/>
      <c r="Q33" s="49"/>
      <c r="R33" s="49"/>
      <c r="S33" s="49"/>
      <c r="T33" s="49"/>
    </row>
    <row r="34" spans="3:20" ht="15" customHeight="1" x14ac:dyDescent="0.2">
      <c r="C34" s="49"/>
      <c r="D34" s="257"/>
      <c r="E34" s="49"/>
      <c r="F34" s="276"/>
      <c r="G34" s="273"/>
      <c r="H34" s="49"/>
      <c r="I34" s="257"/>
      <c r="J34" s="276"/>
      <c r="K34" s="276"/>
      <c r="L34" s="26"/>
      <c r="M34" s="49"/>
      <c r="N34" s="49"/>
      <c r="O34" s="49"/>
      <c r="P34" s="49"/>
      <c r="Q34" s="49"/>
      <c r="R34" s="49"/>
      <c r="S34" s="49"/>
      <c r="T34" s="49"/>
    </row>
    <row r="35" spans="3:20" ht="15" customHeight="1" x14ac:dyDescent="0.2">
      <c r="C35" s="49"/>
      <c r="D35" s="332"/>
      <c r="E35" s="332"/>
      <c r="F35" s="332"/>
      <c r="G35" s="346"/>
      <c r="H35" s="332"/>
      <c r="I35" s="347"/>
      <c r="J35" s="332"/>
      <c r="K35" s="332"/>
      <c r="L35" s="26"/>
      <c r="M35" s="49"/>
      <c r="N35" s="49"/>
      <c r="O35" s="49"/>
      <c r="P35" s="49"/>
      <c r="Q35" s="49"/>
      <c r="R35" s="49"/>
      <c r="S35" s="49"/>
      <c r="T35" s="49"/>
    </row>
    <row r="36" spans="3:20" ht="15" customHeight="1" x14ac:dyDescent="0.2">
      <c r="C36" s="49"/>
      <c r="D36" s="219" t="s">
        <v>1997</v>
      </c>
      <c r="E36" s="49"/>
      <c r="F36" s="26"/>
      <c r="G36" s="350">
        <f>(G21*20)*G10</f>
        <v>0</v>
      </c>
      <c r="H36" s="49" t="s">
        <v>288</v>
      </c>
      <c r="I36" s="348"/>
      <c r="J36" s="26"/>
      <c r="K36" s="26"/>
      <c r="L36" s="26"/>
      <c r="M36" s="49"/>
      <c r="N36" s="49"/>
      <c r="O36" s="49"/>
      <c r="P36" s="49"/>
      <c r="Q36" s="49"/>
      <c r="R36" s="49"/>
      <c r="S36" s="49"/>
      <c r="T36" s="49"/>
    </row>
    <row r="37" spans="3:20" ht="15" customHeight="1" x14ac:dyDescent="0.2">
      <c r="C37" s="49"/>
      <c r="D37" s="170" t="s">
        <v>2002</v>
      </c>
      <c r="E37" s="49"/>
      <c r="F37" s="26"/>
      <c r="G37" s="325">
        <f>((G24*5)/50)*G10</f>
        <v>30.4</v>
      </c>
      <c r="H37" s="49" t="s">
        <v>1134</v>
      </c>
      <c r="I37" s="348"/>
      <c r="J37" s="26"/>
      <c r="K37" s="26"/>
      <c r="L37" s="26"/>
      <c r="M37" s="49"/>
      <c r="N37" s="49"/>
      <c r="O37" s="49"/>
      <c r="P37" s="49"/>
      <c r="Q37" s="49"/>
      <c r="R37" s="49"/>
      <c r="S37" s="49"/>
      <c r="T37" s="49"/>
    </row>
    <row r="38" spans="3:20" ht="15" customHeight="1" x14ac:dyDescent="0.2">
      <c r="C38" s="49"/>
      <c r="D38" s="332"/>
      <c r="E38" s="332"/>
      <c r="F38" s="332"/>
      <c r="G38" s="351">
        <f>((G23*5)/50)*G10</f>
        <v>100</v>
      </c>
      <c r="H38" s="332" t="s">
        <v>1135</v>
      </c>
      <c r="I38" s="347"/>
      <c r="J38" s="332"/>
      <c r="K38" s="332"/>
      <c r="L38" s="26"/>
      <c r="M38" s="49"/>
      <c r="N38" s="49"/>
      <c r="O38" s="49"/>
      <c r="P38" s="49"/>
      <c r="Q38" s="49"/>
      <c r="R38" s="49"/>
      <c r="S38" s="49"/>
      <c r="T38" s="49"/>
    </row>
    <row r="39" spans="3:20" ht="15" customHeight="1" x14ac:dyDescent="0.2">
      <c r="C39" s="49"/>
      <c r="D39" s="26"/>
      <c r="E39" s="26"/>
      <c r="F39" s="26"/>
      <c r="G39" s="171"/>
      <c r="H39" s="26"/>
      <c r="I39" s="348"/>
      <c r="J39" s="26"/>
      <c r="K39" s="26"/>
      <c r="L39" s="26"/>
      <c r="M39" s="49"/>
      <c r="N39" s="49"/>
      <c r="O39" s="49"/>
      <c r="P39" s="49"/>
      <c r="Q39" s="49"/>
      <c r="R39" s="49"/>
      <c r="S39" s="49"/>
      <c r="T39" s="49"/>
    </row>
    <row r="40" spans="3:20" ht="15" customHeight="1" x14ac:dyDescent="0.2">
      <c r="D40" s="169"/>
      <c r="L40" s="27"/>
    </row>
    <row r="41" spans="3:20" ht="15" customHeight="1" x14ac:dyDescent="0.2">
      <c r="D41" s="169"/>
    </row>
    <row r="42" spans="3:20" s="213" customFormat="1" ht="15" customHeight="1" x14ac:dyDescent="0.2"/>
    <row r="43" spans="3:20" ht="15" customHeight="1" x14ac:dyDescent="0.2">
      <c r="D43" s="292"/>
    </row>
    <row r="44" spans="3:20" ht="15" customHeight="1" x14ac:dyDescent="0.2">
      <c r="D44" s="292"/>
    </row>
    <row r="45" spans="3:20" ht="15" customHeight="1" x14ac:dyDescent="0.2">
      <c r="D45" s="292"/>
    </row>
    <row r="46" spans="3:20" ht="15" customHeight="1" x14ac:dyDescent="0.2">
      <c r="D46" s="49"/>
    </row>
    <row r="47" spans="3:20" ht="15" customHeight="1" x14ac:dyDescent="0.2">
      <c r="D47" s="267"/>
      <c r="E47" s="213"/>
      <c r="F47" s="267"/>
      <c r="G47" s="294"/>
      <c r="H47" s="294"/>
      <c r="I47" s="213"/>
      <c r="J47" s="213"/>
      <c r="K47" s="213"/>
      <c r="L47" s="213"/>
    </row>
    <row r="48" spans="3:20" s="60" customFormat="1" ht="15" customHeight="1" x14ac:dyDescent="0.2">
      <c r="D48" s="292" t="s">
        <v>891</v>
      </c>
      <c r="E48" s="771">
        <f ca="1">TODAY()</f>
        <v>45064</v>
      </c>
      <c r="F48" s="772"/>
      <c r="G48" s="298" t="s">
        <v>1305</v>
      </c>
    </row>
    <row r="49" spans="4:5" s="60" customFormat="1" ht="15" customHeight="1" x14ac:dyDescent="0.2">
      <c r="D49" s="267"/>
    </row>
    <row r="50" spans="4:5" s="60" customFormat="1" ht="15" hidden="1" customHeight="1" x14ac:dyDescent="0.2">
      <c r="D50" s="267"/>
    </row>
    <row r="51" spans="4:5" s="60" customFormat="1" ht="15" hidden="1" customHeight="1" x14ac:dyDescent="0.2">
      <c r="D51" s="267"/>
    </row>
    <row r="52" spans="4:5" s="60" customFormat="1" ht="15" hidden="1" customHeight="1" x14ac:dyDescent="0.2">
      <c r="D52" s="267"/>
    </row>
    <row r="53" spans="4:5" s="60" customFormat="1" ht="15" hidden="1" customHeight="1" x14ac:dyDescent="0.2">
      <c r="D53" s="267"/>
    </row>
    <row r="54" spans="4:5" s="60" customFormat="1" ht="15" hidden="1" customHeight="1" x14ac:dyDescent="0.2">
      <c r="D54" s="267"/>
    </row>
    <row r="55" spans="4:5" s="60" customFormat="1" ht="15" hidden="1" customHeight="1" x14ac:dyDescent="0.2">
      <c r="D55" s="267"/>
      <c r="E55" s="111"/>
    </row>
  </sheetData>
  <sheetProtection algorithmName="SHA-512" hashValue="mmtyO57uCEXUCFIXpBuV+2zBKGWi1L5aOEps1uAnfN24DCWGLqPqvTWbuQcE4p48UczYVfBt3ILBFC/6iQzPVg==" saltValue="jrMWU6N5D+dAe3DrYvAtyg==" spinCount="100000" sheet="1" objects="1" scenarios="1" selectLockedCells="1"/>
  <mergeCells count="3">
    <mergeCell ref="C6:N6"/>
    <mergeCell ref="E8:M8"/>
    <mergeCell ref="E48:F4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4">
    <pageSetUpPr fitToPage="1"/>
  </sheetPr>
  <dimension ref="A1:Y48"/>
  <sheetViews>
    <sheetView showGridLines="0" showRowColHeaders="0" zoomScaleNormal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2007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10" spans="1:16" ht="15" customHeight="1" x14ac:dyDescent="0.2">
      <c r="D10" s="60"/>
      <c r="E10" s="60"/>
      <c r="F10" s="60"/>
      <c r="G10" s="60"/>
      <c r="H10" s="60"/>
      <c r="I10" s="60"/>
      <c r="J10" s="60"/>
    </row>
    <row r="11" spans="1:16" ht="15" customHeight="1" x14ac:dyDescent="0.2">
      <c r="D11" s="60" t="s">
        <v>351</v>
      </c>
      <c r="G11" s="237">
        <v>1</v>
      </c>
      <c r="H11" s="297" t="s">
        <v>352</v>
      </c>
      <c r="I11" s="5">
        <v>0.4</v>
      </c>
      <c r="J11" s="266" t="s">
        <v>355</v>
      </c>
      <c r="K11" s="299">
        <f>10000/(G11*I11)</f>
        <v>25000</v>
      </c>
      <c r="L11" s="266" t="s">
        <v>353</v>
      </c>
    </row>
    <row r="12" spans="1:16" ht="15" customHeight="1" x14ac:dyDescent="0.2">
      <c r="E12" s="265"/>
      <c r="F12" s="271"/>
      <c r="G12" s="271"/>
    </row>
    <row r="13" spans="1:16" ht="15" customHeight="1" x14ac:dyDescent="0.2">
      <c r="D13" s="60" t="s">
        <v>338</v>
      </c>
      <c r="G13" s="237">
        <v>15</v>
      </c>
      <c r="H13" s="49" t="s">
        <v>1953</v>
      </c>
    </row>
    <row r="14" spans="1:16" ht="15" customHeight="1" x14ac:dyDescent="0.2">
      <c r="G14" s="237">
        <v>150</v>
      </c>
      <c r="H14" s="49" t="s">
        <v>1933</v>
      </c>
    </row>
    <row r="15" spans="1:16" ht="15" customHeight="1" x14ac:dyDescent="0.2">
      <c r="G15" s="237">
        <v>9</v>
      </c>
      <c r="H15" s="49" t="s">
        <v>1934</v>
      </c>
    </row>
    <row r="16" spans="1:16" ht="15" customHeight="1" x14ac:dyDescent="0.2">
      <c r="G16" s="237">
        <v>30</v>
      </c>
      <c r="H16" s="49" t="s">
        <v>1929</v>
      </c>
    </row>
    <row r="17" spans="2:25" ht="15" customHeight="1" x14ac:dyDescent="0.2">
      <c r="G17" s="265"/>
      <c r="H17" s="290"/>
    </row>
    <row r="18" spans="2:25" ht="15" customHeight="1" x14ac:dyDescent="0.2">
      <c r="D18" s="60" t="s">
        <v>340</v>
      </c>
      <c r="G18" s="237">
        <v>80</v>
      </c>
      <c r="H18" s="290" t="s">
        <v>341</v>
      </c>
    </row>
    <row r="19" spans="2:25" ht="15" customHeight="1" x14ac:dyDescent="0.2">
      <c r="E19" s="265"/>
    </row>
    <row r="20" spans="2:25" ht="15" customHeight="1" x14ac:dyDescent="0.25">
      <c r="D20" s="291" t="s">
        <v>371</v>
      </c>
      <c r="E20" s="291"/>
      <c r="F20" s="291"/>
      <c r="G20" s="291"/>
      <c r="H20" s="27"/>
      <c r="Q20" s="26"/>
      <c r="R20" s="26"/>
      <c r="S20" s="26"/>
    </row>
    <row r="21" spans="2:25" ht="15" customHeight="1" x14ac:dyDescent="0.2">
      <c r="B21" s="213"/>
      <c r="C21" s="213"/>
      <c r="D21" s="298" t="s">
        <v>1708</v>
      </c>
      <c r="G21" s="257">
        <f>IF(W23&gt;0,W23,0)</f>
        <v>4.5</v>
      </c>
      <c r="H21" s="300" t="s">
        <v>349</v>
      </c>
      <c r="I21" s="213"/>
      <c r="J21" s="213"/>
      <c r="K21" s="213"/>
      <c r="L21" s="213"/>
      <c r="M21" s="213"/>
      <c r="N21" s="213"/>
      <c r="O21" s="213"/>
      <c r="P21" s="213"/>
      <c r="Q21" s="26"/>
      <c r="R21" s="26"/>
      <c r="S21" s="26"/>
      <c r="T21" s="213"/>
    </row>
    <row r="22" spans="2:25" ht="15" customHeight="1" x14ac:dyDescent="0.2">
      <c r="E22" s="222"/>
      <c r="Q22" s="26"/>
      <c r="R22" s="171"/>
      <c r="S22" s="26"/>
    </row>
    <row r="23" spans="2:25" ht="15" customHeight="1" x14ac:dyDescent="0.2">
      <c r="D23" s="60" t="s">
        <v>1696</v>
      </c>
      <c r="G23" s="224">
        <v>10</v>
      </c>
      <c r="H23" s="305" t="s">
        <v>558</v>
      </c>
      <c r="I23" s="222" t="str">
        <f>IF(G14&lt;80,"20-00-30",IF(AND(G14&gt;=80,G14&lt;150),"20-00-20",IF(AND(G14&gt;=150,G14&lt;200),"20-00-15",IF(AND(G14&gt;=200,G14&lt;280),"20-00-10","Sulf. Amônio"))))</f>
        <v>20-00-15</v>
      </c>
      <c r="J23" s="266" t="s">
        <v>1133</v>
      </c>
      <c r="W23" s="315">
        <f xml:space="preserve"> G15*(70-G16)/G18</f>
        <v>4.5</v>
      </c>
      <c r="X23" s="26" t="s">
        <v>1300</v>
      </c>
      <c r="Y23" s="26"/>
    </row>
    <row r="24" spans="2:25" s="213" customFormat="1" ht="15" customHeight="1" x14ac:dyDescent="0.2">
      <c r="B24" s="266"/>
      <c r="C24" s="266"/>
      <c r="D24" s="266"/>
      <c r="G24" s="224" t="str">
        <f>IF(G13&lt;20,"150",IF(AND(G13&gt;=20,G13&lt;60),"100",IF(AND(G13&gt;=60,G13&lt;100),"80",IF(AND(G13&gt;=100,G13&lt;150),"50",0))))</f>
        <v>150</v>
      </c>
      <c r="H24" s="213" t="s">
        <v>1304</v>
      </c>
      <c r="I24" s="303"/>
      <c r="J24" s="218"/>
      <c r="K24" s="271"/>
      <c r="L24" s="271"/>
      <c r="M24" s="266"/>
      <c r="N24" s="266"/>
      <c r="O24" s="266"/>
      <c r="P24" s="266"/>
      <c r="Q24" s="171"/>
      <c r="R24" s="26"/>
      <c r="S24" s="26"/>
      <c r="T24" s="266"/>
    </row>
    <row r="25" spans="2:25" ht="15" customHeight="1" x14ac:dyDescent="0.2">
      <c r="G25" s="224">
        <v>5</v>
      </c>
      <c r="H25" s="213" t="s">
        <v>1318</v>
      </c>
      <c r="I25" s="208"/>
      <c r="J25" s="218"/>
      <c r="K25" s="306"/>
      <c r="L25" s="27"/>
      <c r="Q25" s="171"/>
      <c r="R25" s="26"/>
      <c r="S25" s="26"/>
    </row>
    <row r="26" spans="2:25" ht="15" customHeight="1" x14ac:dyDescent="0.2">
      <c r="E26" s="289"/>
      <c r="F26" s="271"/>
      <c r="G26" s="297"/>
      <c r="H26" s="310"/>
      <c r="N26" s="263"/>
      <c r="Q26" s="26"/>
      <c r="R26" s="26"/>
      <c r="S26" s="26"/>
    </row>
    <row r="27" spans="2:25" ht="15" customHeight="1" x14ac:dyDescent="0.2">
      <c r="D27" s="298" t="s">
        <v>342</v>
      </c>
      <c r="G27" s="352" t="str">
        <f>"10 g/planta de "&amp;$I$23&amp;" aos 20 dias do plantio."</f>
        <v>10 g/planta de 20-00-15 aos 20 dias do plantio.</v>
      </c>
      <c r="M27" s="170"/>
      <c r="N27" s="222"/>
      <c r="O27" s="307"/>
    </row>
    <row r="28" spans="2:25" ht="15" customHeight="1" x14ac:dyDescent="0.2">
      <c r="G28" s="352" t="str">
        <f>"10 g/planta de "&amp;$I$23&amp;" aos 40 dias do plantio."</f>
        <v>10 g/planta de 20-00-15 aos 40 dias do plantio.</v>
      </c>
      <c r="M28" s="224"/>
      <c r="N28" s="305"/>
      <c r="O28" s="222"/>
      <c r="P28" s="308"/>
    </row>
    <row r="29" spans="2:25" ht="15" customHeight="1" x14ac:dyDescent="0.2">
      <c r="G29" s="352" t="str">
        <f>"15 g/planta de "&amp;$I$23&amp;" aos 60 dias do plantio."</f>
        <v>15 g/planta de 20-00-15 aos 60 dias do plantio.</v>
      </c>
      <c r="M29" s="224"/>
      <c r="N29" s="170"/>
      <c r="O29" s="222"/>
      <c r="P29" s="308"/>
    </row>
    <row r="30" spans="2:25" ht="15" customHeight="1" x14ac:dyDescent="0.2">
      <c r="E30" s="224"/>
      <c r="F30" s="305"/>
      <c r="G30" s="222"/>
      <c r="H30" s="308"/>
    </row>
    <row r="31" spans="2:25" ht="15" customHeight="1" x14ac:dyDescent="0.2">
      <c r="C31" s="169"/>
    </row>
    <row r="37" spans="1:20" ht="15" customHeight="1" x14ac:dyDescent="0.2">
      <c r="N37" s="60"/>
    </row>
    <row r="38" spans="1:20" ht="15" customHeight="1" x14ac:dyDescent="0.2">
      <c r="B38" s="60"/>
      <c r="M38" s="60"/>
      <c r="N38" s="60"/>
      <c r="O38" s="60"/>
      <c r="P38" s="60"/>
      <c r="Q38" s="60"/>
      <c r="R38" s="60"/>
      <c r="S38" s="60"/>
      <c r="T38" s="60"/>
    </row>
    <row r="39" spans="1:20" ht="15" customHeight="1" x14ac:dyDescent="0.2">
      <c r="B39" s="60"/>
      <c r="C39" s="226" t="s">
        <v>891</v>
      </c>
      <c r="D39" s="771">
        <f ca="1">TODAY()</f>
        <v>45064</v>
      </c>
      <c r="E39" s="772"/>
      <c r="F39" s="60" t="s">
        <v>373</v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0" ht="15" customHeight="1" x14ac:dyDescent="0.2">
      <c r="B40" s="60"/>
      <c r="C40" s="267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</row>
    <row r="41" spans="1:20" s="60" customFormat="1" ht="15" customHeight="1" x14ac:dyDescent="0.2">
      <c r="C41" s="267"/>
    </row>
    <row r="42" spans="1:20" s="60" customFormat="1" ht="15" customHeight="1" x14ac:dyDescent="0.2">
      <c r="C42" s="267"/>
    </row>
    <row r="43" spans="1:20" s="60" customFormat="1" ht="15" customHeight="1" x14ac:dyDescent="0.2">
      <c r="B43" s="267"/>
    </row>
    <row r="44" spans="1:20" s="60" customFormat="1" ht="15" customHeight="1" x14ac:dyDescent="0.2">
      <c r="B44" s="267"/>
    </row>
    <row r="45" spans="1:20" s="60" customFormat="1" ht="15" customHeight="1" x14ac:dyDescent="0.2">
      <c r="B45" s="267"/>
      <c r="G45" s="266"/>
      <c r="M45" s="266"/>
    </row>
    <row r="46" spans="1:20" s="60" customFormat="1" ht="15" customHeight="1" x14ac:dyDescent="0.2">
      <c r="A46" s="266"/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</row>
    <row r="47" spans="1:20" s="60" customFormat="1" ht="15" customHeight="1" x14ac:dyDescent="0.2">
      <c r="A47" s="266"/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</row>
    <row r="48" spans="1:20" s="60" customFormat="1" ht="15" customHeight="1" x14ac:dyDescent="0.2">
      <c r="A48" s="266"/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</row>
  </sheetData>
  <sheetProtection algorithmName="SHA-512" hashValue="9N6JwpQg53F0fEzTiCcTFxTfGZI0sIABZpjfldudV0LdM+VBnqqYRR8vqtwzO/48WWG01Om4D7TUVXSGYR4uoA==" saltValue="YJrwOq9du+v1784D0sDxPw==" spinCount="100000" sheet="1" objects="1" scenarios="1" selectLockedCells="1"/>
  <mergeCells count="3">
    <mergeCell ref="C6:N6"/>
    <mergeCell ref="E8:M8"/>
    <mergeCell ref="D39:E3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78" orientation="portrait" cellComments="atEnd" horizontalDpi="360" verticalDpi="360" r:id="rId1"/>
  <headerFooter alignWithMargins="0"/>
  <colBreaks count="1" manualBreakCount="1">
    <brk id="10" max="1048575" man="1"/>
  </colBreaks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5">
    <pageSetUpPr fitToPage="1"/>
  </sheetPr>
  <dimension ref="A1:P15"/>
  <sheetViews>
    <sheetView showGridLines="0" showRowColHeaders="0" zoomScaleNormal="100" workbookViewId="0"/>
  </sheetViews>
  <sheetFormatPr defaultColWidth="0" defaultRowHeight="15" customHeight="1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2008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25">
      <c r="H7" s="48" t="s">
        <v>2066</v>
      </c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  <c r="N8" s="42"/>
    </row>
    <row r="9" spans="1:16" s="34" customFormat="1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  <c r="L9" s="43"/>
    </row>
    <row r="10" spans="1:16" s="34" customFormat="1" ht="24.95" customHeight="1" thickTop="1" thickBot="1" x14ac:dyDescent="0.25">
      <c r="F10" s="711" t="str">
        <f>HYPERLINK("#"&amp;"'Pessego1a2'!h1","Formação - 1 a 2 anos")</f>
        <v>Formação - 1 a 2 anos</v>
      </c>
      <c r="G10" s="711"/>
      <c r="H10" s="711"/>
      <c r="I10" s="711"/>
      <c r="J10" s="711"/>
      <c r="L10" s="43"/>
    </row>
    <row r="11" spans="1:16" s="34" customFormat="1" ht="24.95" customHeight="1" thickTop="1" thickBot="1" x14ac:dyDescent="0.25">
      <c r="F11" s="711" t="str">
        <f>HYPERLINK("#"&amp;"'Pessego3a4'!h1","Formação - 3 a 4 anos")</f>
        <v>Formação - 3 a 4 anos</v>
      </c>
      <c r="G11" s="711"/>
      <c r="H11" s="711"/>
      <c r="I11" s="711"/>
      <c r="J11" s="711"/>
    </row>
    <row r="12" spans="1:16" s="34" customFormat="1" ht="24.95" customHeight="1" thickTop="1" thickBot="1" x14ac:dyDescent="0.25">
      <c r="F12" s="711" t="str">
        <f>HYPERLINK("#"&amp;"'PessegoProd'!h1","Produção")</f>
        <v>Produção</v>
      </c>
      <c r="G12" s="711"/>
      <c r="H12" s="711"/>
      <c r="I12" s="711"/>
      <c r="J12" s="711"/>
    </row>
    <row r="13" spans="1:16" s="34" customFormat="1" ht="15" customHeight="1" thickTop="1" x14ac:dyDescent="0.2"/>
    <row r="14" spans="1:16" s="34" customFormat="1" ht="15" hidden="1" customHeight="1" x14ac:dyDescent="0.2">
      <c r="F14" s="44"/>
      <c r="G14" s="44"/>
      <c r="H14" s="44"/>
      <c r="I14" s="44"/>
      <c r="J14" s="44"/>
    </row>
    <row r="15" spans="1:16" s="34" customFormat="1" ht="15" hidden="1" customHeight="1" x14ac:dyDescent="0.2"/>
  </sheetData>
  <sheetProtection algorithmName="SHA-512" hashValue="aUKfeompnAvIT5c5d1wFKZhMZeDjFvr5WuS1p4hLdiJGbRDU0xJTXIIyNLldTthGI8xvZn9V/yBNOt9RlqbUYw==" saltValue="t6J+prDAE9RnfhCGZCp2WQ==" spinCount="100000" sheet="1" objects="1" scenarios="1"/>
  <mergeCells count="6">
    <mergeCell ref="C6:N6"/>
    <mergeCell ref="F11:J11"/>
    <mergeCell ref="F12:J12"/>
    <mergeCell ref="F8:J8"/>
    <mergeCell ref="F9:J9"/>
    <mergeCell ref="F10:J1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7">
    <pageSetUpPr fitToPage="1"/>
  </sheetPr>
  <dimension ref="A1:Z53"/>
  <sheetViews>
    <sheetView showGridLines="0" showRowColHeaders="0" zoomScaleNormal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1991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11" spans="1:16" ht="15" customHeight="1" x14ac:dyDescent="0.25">
      <c r="D11" s="164" t="s">
        <v>1858</v>
      </c>
      <c r="E11" s="34"/>
      <c r="F11" s="34"/>
    </row>
    <row r="12" spans="1:16" ht="15" customHeight="1" x14ac:dyDescent="0.2">
      <c r="E12" s="49" t="s">
        <v>2009</v>
      </c>
    </row>
    <row r="13" spans="1:16" ht="15" customHeight="1" x14ac:dyDescent="0.2">
      <c r="E13" s="49" t="s">
        <v>2010</v>
      </c>
    </row>
    <row r="14" spans="1:16" ht="15" customHeight="1" x14ac:dyDescent="0.2">
      <c r="E14" s="49" t="s">
        <v>2011</v>
      </c>
    </row>
    <row r="16" spans="1:16" s="60" customFormat="1" ht="15" customHeight="1" x14ac:dyDescent="0.25">
      <c r="D16" s="164" t="s">
        <v>1054</v>
      </c>
      <c r="E16" s="34"/>
      <c r="F16" s="266"/>
      <c r="G16" s="266"/>
      <c r="H16" s="266"/>
      <c r="I16" s="266"/>
      <c r="J16" s="266"/>
      <c r="K16" s="266"/>
      <c r="L16" s="266"/>
      <c r="M16" s="266"/>
    </row>
    <row r="17" spans="4:26" s="60" customFormat="1" ht="15" customHeight="1" x14ac:dyDescent="0.2">
      <c r="E17" s="266"/>
      <c r="F17" s="266"/>
      <c r="G17" s="266"/>
      <c r="H17" s="266"/>
      <c r="I17" s="266"/>
      <c r="J17" s="266"/>
      <c r="K17" s="266"/>
      <c r="L17" s="266"/>
      <c r="M17" s="266"/>
    </row>
    <row r="18" spans="4:26" s="60" customFormat="1" ht="15" customHeight="1" x14ac:dyDescent="0.2">
      <c r="E18" s="298" t="s">
        <v>1703</v>
      </c>
      <c r="G18" s="237">
        <v>4</v>
      </c>
      <c r="H18" s="266" t="s">
        <v>1953</v>
      </c>
      <c r="I18" s="272"/>
      <c r="J18" s="266"/>
      <c r="K18" s="266"/>
      <c r="T18" s="296"/>
      <c r="V18" s="27"/>
      <c r="W18" s="27"/>
      <c r="X18" s="27"/>
      <c r="Y18" s="296"/>
      <c r="Z18" s="296"/>
    </row>
    <row r="19" spans="4:26" s="60" customFormat="1" ht="15" customHeight="1" x14ac:dyDescent="0.2">
      <c r="F19" s="266"/>
      <c r="G19" s="237">
        <v>150</v>
      </c>
      <c r="H19" s="266" t="s">
        <v>1933</v>
      </c>
      <c r="I19" s="266"/>
      <c r="J19" s="266"/>
      <c r="K19" s="266"/>
      <c r="T19" s="292"/>
      <c r="V19" s="27"/>
      <c r="W19" s="26"/>
      <c r="X19" s="26"/>
      <c r="Y19" s="292"/>
      <c r="Z19" s="292"/>
    </row>
    <row r="20" spans="4:26" s="60" customFormat="1" ht="15" customHeight="1" x14ac:dyDescent="0.2">
      <c r="E20" s="266"/>
      <c r="F20" s="266"/>
      <c r="G20" s="266"/>
      <c r="H20" s="266"/>
      <c r="I20" s="266"/>
      <c r="J20" s="266"/>
      <c r="K20" s="266"/>
      <c r="T20" s="292"/>
      <c r="V20" s="27"/>
      <c r="W20" s="26"/>
      <c r="X20" s="26"/>
      <c r="Y20" s="292"/>
      <c r="Z20" s="292"/>
    </row>
    <row r="21" spans="4:26" s="60" customFormat="1" ht="15" customHeight="1" x14ac:dyDescent="0.2">
      <c r="E21" s="298"/>
      <c r="F21" s="316" t="s">
        <v>637</v>
      </c>
      <c r="G21" s="224">
        <f>W21*5</f>
        <v>500</v>
      </c>
      <c r="H21" s="273" t="s">
        <v>558</v>
      </c>
      <c r="I21" s="169" t="s">
        <v>1140</v>
      </c>
      <c r="J21" s="169"/>
      <c r="K21" s="49"/>
      <c r="T21" s="292"/>
      <c r="V21" s="27"/>
      <c r="W21" s="325" t="str">
        <f>IF(G18&lt;10,"100",IF(AND(G18&gt;=10,G18&lt;20),"80",IF(AND(G18&gt;=20,G18&lt;50),"40",0)))</f>
        <v>100</v>
      </c>
      <c r="X21" s="26" t="s">
        <v>653</v>
      </c>
      <c r="Y21" s="292"/>
      <c r="Z21" s="292"/>
    </row>
    <row r="22" spans="4:26" s="60" customFormat="1" ht="15" customHeight="1" x14ac:dyDescent="0.2">
      <c r="E22" s="298"/>
      <c r="F22" s="317" t="s">
        <v>1139</v>
      </c>
      <c r="G22" s="276">
        <f>(W22*5)/3</f>
        <v>166.66666666666666</v>
      </c>
      <c r="H22" s="273" t="s">
        <v>558</v>
      </c>
      <c r="I22" s="277" t="str">
        <f>IF(G19&lt;60,"20-00-30",IF(AND(G19&gt;=60,G19&lt;120),"20-00-20",IF(AND(G19&gt;=120,G19&lt;200),"20-00-15",IF(AND(G19&gt;=200,G19&lt;280),"20-00-10","Sulfato de Amônio"))))</f>
        <v>20-00-15</v>
      </c>
      <c r="J22" s="49"/>
      <c r="K22" s="49"/>
      <c r="T22" s="292"/>
      <c r="V22" s="27"/>
      <c r="W22" s="171">
        <v>100</v>
      </c>
      <c r="X22" s="26" t="s">
        <v>654</v>
      </c>
      <c r="Y22" s="292"/>
      <c r="Z22" s="292"/>
    </row>
    <row r="23" spans="4:26" s="60" customFormat="1" ht="15" customHeight="1" x14ac:dyDescent="0.2">
      <c r="D23" s="266"/>
      <c r="E23" s="266"/>
      <c r="F23" s="266"/>
      <c r="G23" s="266"/>
      <c r="H23" s="266"/>
      <c r="I23" s="279"/>
      <c r="J23" s="266"/>
      <c r="T23" s="292"/>
      <c r="V23" s="27"/>
      <c r="W23" s="26"/>
      <c r="X23" s="26"/>
      <c r="Y23" s="292"/>
      <c r="Z23" s="292"/>
    </row>
    <row r="24" spans="4:26" ht="15" customHeight="1" x14ac:dyDescent="0.25">
      <c r="D24" s="164" t="s">
        <v>636</v>
      </c>
      <c r="E24" s="281"/>
      <c r="F24" s="281"/>
      <c r="G24" s="281"/>
      <c r="H24" s="283"/>
      <c r="I24" s="283"/>
      <c r="J24" s="283"/>
      <c r="T24" s="26"/>
      <c r="V24" s="283"/>
      <c r="W24" s="273"/>
      <c r="X24" s="273"/>
      <c r="Y24" s="26"/>
      <c r="Z24" s="26"/>
    </row>
    <row r="25" spans="4:26" ht="15" customHeight="1" x14ac:dyDescent="0.2">
      <c r="D25" s="275"/>
      <c r="G25" s="281"/>
      <c r="H25" s="281"/>
      <c r="I25" s="281"/>
      <c r="J25" s="283"/>
      <c r="K25" s="283"/>
      <c r="L25" s="283"/>
      <c r="T25" s="26"/>
      <c r="V25" s="283"/>
      <c r="W25" s="273"/>
      <c r="X25" s="273"/>
      <c r="Y25" s="26"/>
      <c r="Z25" s="26"/>
    </row>
    <row r="26" spans="4:26" ht="15" customHeight="1" x14ac:dyDescent="0.2">
      <c r="D26" s="60" t="s">
        <v>338</v>
      </c>
      <c r="G26" s="237">
        <v>20</v>
      </c>
      <c r="H26" s="266" t="s">
        <v>1929</v>
      </c>
      <c r="I26" s="281"/>
      <c r="J26" s="283"/>
      <c r="K26" s="283"/>
      <c r="L26" s="283"/>
      <c r="T26" s="26"/>
      <c r="V26" s="27"/>
      <c r="W26" s="315">
        <f xml:space="preserve"> G27*(60-G26)/G29</f>
        <v>3.5</v>
      </c>
      <c r="X26" s="26" t="s">
        <v>349</v>
      </c>
      <c r="Y26" s="26"/>
      <c r="Z26" s="26"/>
    </row>
    <row r="27" spans="4:26" ht="15" customHeight="1" x14ac:dyDescent="0.2">
      <c r="D27" s="281"/>
      <c r="G27" s="5">
        <v>7</v>
      </c>
      <c r="H27" s="266" t="s">
        <v>1934</v>
      </c>
      <c r="I27" s="281"/>
      <c r="J27" s="272"/>
      <c r="K27" s="272"/>
      <c r="L27" s="272"/>
      <c r="T27" s="26"/>
      <c r="V27" s="27"/>
      <c r="W27" s="315"/>
      <c r="X27" s="26"/>
      <c r="Y27" s="26"/>
      <c r="Z27" s="26"/>
    </row>
    <row r="28" spans="4:26" ht="15" customHeight="1" x14ac:dyDescent="0.2">
      <c r="D28" s="281"/>
      <c r="F28" s="27"/>
      <c r="G28" s="208"/>
      <c r="H28" s="27"/>
      <c r="I28" s="281"/>
      <c r="J28" s="272"/>
      <c r="K28" s="272"/>
      <c r="L28" s="272"/>
      <c r="T28" s="26"/>
      <c r="V28" s="27"/>
      <c r="W28" s="315"/>
      <c r="X28" s="26"/>
      <c r="Y28" s="26"/>
      <c r="Z28" s="26"/>
    </row>
    <row r="29" spans="4:26" ht="15" customHeight="1" x14ac:dyDescent="0.2">
      <c r="D29" s="49" t="s">
        <v>1947</v>
      </c>
      <c r="G29" s="237">
        <v>80</v>
      </c>
      <c r="I29" s="281"/>
      <c r="J29" s="283"/>
      <c r="K29" s="283"/>
      <c r="L29" s="283"/>
      <c r="T29" s="26"/>
      <c r="V29" s="263"/>
      <c r="W29" s="273"/>
      <c r="X29" s="26"/>
      <c r="Y29" s="26"/>
      <c r="Z29" s="26"/>
    </row>
    <row r="30" spans="4:26" ht="15" customHeight="1" x14ac:dyDescent="0.2">
      <c r="D30" s="281"/>
      <c r="E30" s="281"/>
      <c r="F30" s="281"/>
      <c r="G30" s="281"/>
      <c r="H30" s="275"/>
      <c r="I30" s="281"/>
      <c r="J30" s="281"/>
      <c r="T30" s="27"/>
      <c r="V30" s="283"/>
      <c r="W30" s="283"/>
      <c r="X30" s="220"/>
      <c r="Y30" s="27"/>
      <c r="Z30" s="27"/>
    </row>
    <row r="31" spans="4:26" ht="15" customHeight="1" x14ac:dyDescent="0.2">
      <c r="D31" s="292" t="s">
        <v>1708</v>
      </c>
      <c r="G31" s="286">
        <f>IF(W26&gt;0,W26,0)</f>
        <v>3.5</v>
      </c>
      <c r="H31" s="280" t="s">
        <v>1732</v>
      </c>
      <c r="I31" s="281"/>
      <c r="J31" s="281"/>
      <c r="K31" s="281"/>
      <c r="L31" s="281"/>
      <c r="M31" s="281"/>
      <c r="T31" s="27"/>
      <c r="V31" s="27"/>
      <c r="W31" s="27"/>
      <c r="X31" s="27"/>
      <c r="Y31" s="27"/>
      <c r="Z31" s="27"/>
    </row>
    <row r="32" spans="4:26" ht="15" customHeight="1" x14ac:dyDescent="0.2">
      <c r="D32" s="275"/>
      <c r="E32" s="220"/>
      <c r="G32" s="280"/>
      <c r="H32" s="281"/>
      <c r="I32" s="281"/>
      <c r="J32" s="281"/>
      <c r="K32" s="281"/>
      <c r="L32" s="281"/>
      <c r="M32" s="281"/>
      <c r="T32" s="27"/>
      <c r="V32" s="27"/>
      <c r="W32" s="27"/>
      <c r="X32" s="27"/>
      <c r="Y32" s="27"/>
      <c r="Z32" s="27"/>
    </row>
    <row r="33" spans="2:26" ht="15" customHeight="1" x14ac:dyDescent="0.2">
      <c r="D33" s="169"/>
      <c r="H33" s="272"/>
      <c r="T33" s="27"/>
      <c r="V33" s="27"/>
      <c r="W33" s="27"/>
      <c r="X33" s="27"/>
      <c r="Y33" s="27"/>
      <c r="Z33" s="27"/>
    </row>
    <row r="34" spans="2:26" ht="15" customHeight="1" x14ac:dyDescent="0.2">
      <c r="E34" s="213"/>
      <c r="F34" s="213"/>
      <c r="G34" s="213"/>
      <c r="H34" s="272"/>
      <c r="I34" s="213"/>
      <c r="J34" s="213"/>
      <c r="K34" s="213"/>
      <c r="L34" s="213"/>
      <c r="M34" s="213"/>
    </row>
    <row r="35" spans="2:26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281"/>
    </row>
    <row r="36" spans="2:26" ht="15" customHeight="1" x14ac:dyDescent="0.2">
      <c r="D36" s="275"/>
      <c r="E36" s="281"/>
      <c r="F36" s="281"/>
      <c r="G36" s="281"/>
      <c r="H36" s="281"/>
      <c r="I36" s="281"/>
      <c r="J36" s="281"/>
      <c r="K36" s="281"/>
      <c r="L36" s="281"/>
      <c r="M36" s="281"/>
    </row>
    <row r="37" spans="2:26" ht="15" customHeight="1" x14ac:dyDescent="0.2">
      <c r="D37" s="275"/>
      <c r="E37" s="281"/>
      <c r="F37" s="281"/>
      <c r="G37" s="281"/>
      <c r="H37" s="281"/>
      <c r="I37" s="281"/>
      <c r="J37" s="281"/>
      <c r="K37" s="281"/>
      <c r="L37" s="281"/>
      <c r="M37" s="281"/>
    </row>
    <row r="38" spans="2:26" ht="15" customHeight="1" x14ac:dyDescent="0.2"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</row>
    <row r="40" spans="2:26" s="60" customFormat="1" ht="15" customHeight="1" x14ac:dyDescent="0.2">
      <c r="D40" s="226" t="s">
        <v>891</v>
      </c>
      <c r="E40" s="771">
        <f ca="1">TODAY()</f>
        <v>45064</v>
      </c>
      <c r="F40" s="772"/>
      <c r="G40" s="60" t="s">
        <v>373</v>
      </c>
    </row>
    <row r="41" spans="2:26" s="60" customFormat="1" ht="15" customHeight="1" x14ac:dyDescent="0.2">
      <c r="D41" s="267"/>
    </row>
    <row r="42" spans="2:26" s="60" customFormat="1" ht="15" customHeight="1" x14ac:dyDescent="0.2">
      <c r="D42" s="267"/>
    </row>
    <row r="43" spans="2:26" s="60" customFormat="1" ht="15" customHeight="1" x14ac:dyDescent="0.2">
      <c r="D43" s="267"/>
    </row>
    <row r="44" spans="2:26" s="60" customFormat="1" ht="15" customHeight="1" x14ac:dyDescent="0.2">
      <c r="B44" s="267"/>
    </row>
    <row r="45" spans="2:26" s="60" customFormat="1" ht="15" customHeight="1" x14ac:dyDescent="0.2">
      <c r="B45" s="267"/>
    </row>
    <row r="46" spans="2:26" s="60" customFormat="1" ht="15" customHeight="1" x14ac:dyDescent="0.2">
      <c r="B46" s="267"/>
    </row>
    <row r="47" spans="2:26" s="60" customFormat="1" ht="15" customHeight="1" x14ac:dyDescent="0.2">
      <c r="B47" s="267"/>
    </row>
    <row r="48" spans="2:26" s="60" customFormat="1" ht="15" customHeight="1" x14ac:dyDescent="0.2">
      <c r="B48" s="267"/>
      <c r="G48" s="266"/>
    </row>
    <row r="49" spans="2:9" ht="15" customHeight="1" x14ac:dyDescent="0.2">
      <c r="B49" s="60"/>
      <c r="C49" s="267"/>
      <c r="D49" s="267"/>
      <c r="E49" s="60"/>
      <c r="F49" s="60"/>
      <c r="G49" s="60"/>
      <c r="H49" s="60"/>
      <c r="I49" s="60"/>
    </row>
    <row r="50" spans="2:9" ht="15" customHeight="1" x14ac:dyDescent="0.2">
      <c r="B50" s="60"/>
      <c r="C50" s="267"/>
      <c r="D50" s="267"/>
      <c r="E50" s="60"/>
      <c r="F50" s="60"/>
      <c r="G50" s="60"/>
      <c r="H50" s="60"/>
      <c r="I50" s="60"/>
    </row>
    <row r="51" spans="2:9" ht="15" customHeight="1" x14ac:dyDescent="0.2">
      <c r="B51" s="60"/>
      <c r="C51" s="267"/>
      <c r="D51" s="267"/>
      <c r="E51" s="60"/>
      <c r="F51" s="60"/>
      <c r="G51" s="60"/>
      <c r="H51" s="60"/>
      <c r="I51" s="60"/>
    </row>
    <row r="52" spans="2:9" ht="15" customHeight="1" x14ac:dyDescent="0.2">
      <c r="B52" s="60"/>
      <c r="C52" s="267"/>
      <c r="D52" s="267"/>
      <c r="E52" s="60"/>
      <c r="F52" s="60"/>
      <c r="G52" s="60"/>
      <c r="H52" s="60"/>
      <c r="I52" s="60"/>
    </row>
    <row r="53" spans="2:9" ht="15" customHeight="1" x14ac:dyDescent="0.2">
      <c r="B53" s="60"/>
      <c r="F53" s="60"/>
      <c r="G53" s="60"/>
      <c r="H53" s="60"/>
      <c r="I53" s="60"/>
    </row>
  </sheetData>
  <sheetProtection algorithmName="SHA-512" hashValue="pinhBsYnCdVBcP2LKx/d1k4Cl53UNmliEwaQeqg0Qg3WYf0qzr4sAyGHSqLqCVl6Rj9jJkXs8fHXiHSaBNAwlA==" saltValue="VmsBtGnhPAfXqiEwVRu8bQ==" spinCount="100000" sheet="1" objects="1" scenarios="1" selectLockedCells="1"/>
  <mergeCells count="3">
    <mergeCell ref="E40:F40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8">
    <pageSetUpPr fitToPage="1"/>
  </sheetPr>
  <dimension ref="A1:AA53"/>
  <sheetViews>
    <sheetView showGridLines="0" showRowColHeaders="0" zoomScaleNormal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2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7" ht="24.95" customHeight="1" x14ac:dyDescent="0.2">
      <c r="C6" s="699" t="s">
        <v>1992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27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10" spans="1:27" s="60" customFormat="1" ht="15" customHeight="1" x14ac:dyDescent="0.2">
      <c r="B10" s="275"/>
      <c r="C10" s="224"/>
      <c r="D10" s="280"/>
      <c r="E10" s="266"/>
      <c r="F10" s="266"/>
      <c r="G10" s="266"/>
      <c r="H10" s="266"/>
      <c r="I10" s="266"/>
      <c r="J10" s="266"/>
      <c r="K10" s="266"/>
    </row>
    <row r="11" spans="1:27" s="60" customFormat="1" ht="15" customHeight="1" x14ac:dyDescent="0.25">
      <c r="D11" s="164" t="s">
        <v>2012</v>
      </c>
      <c r="E11" s="34"/>
      <c r="F11" s="266"/>
      <c r="G11" s="266"/>
      <c r="H11" s="49"/>
      <c r="I11" s="49"/>
      <c r="J11" s="49"/>
      <c r="K11" s="49"/>
      <c r="L11" s="49"/>
      <c r="M11" s="49"/>
      <c r="N11" s="298"/>
      <c r="O11" s="298"/>
      <c r="W11" s="298"/>
      <c r="X11" s="298"/>
      <c r="Y11" s="298"/>
      <c r="Z11" s="298"/>
      <c r="AA11" s="298"/>
    </row>
    <row r="12" spans="1:27" s="60" customFormat="1" ht="15" customHeight="1" x14ac:dyDescent="0.2">
      <c r="D12" s="266"/>
      <c r="E12" s="266"/>
      <c r="F12" s="266"/>
      <c r="G12" s="266"/>
      <c r="H12" s="49"/>
      <c r="I12" s="49"/>
      <c r="J12" s="49"/>
      <c r="K12" s="49"/>
      <c r="L12" s="49"/>
      <c r="M12" s="49"/>
      <c r="N12" s="298"/>
      <c r="O12" s="298"/>
      <c r="W12" s="298"/>
      <c r="X12" s="298"/>
      <c r="Y12" s="298"/>
      <c r="Z12" s="298"/>
      <c r="AA12" s="298"/>
    </row>
    <row r="13" spans="1:27" s="60" customFormat="1" ht="15" customHeight="1" x14ac:dyDescent="0.2">
      <c r="D13" s="60" t="s">
        <v>338</v>
      </c>
      <c r="G13" s="237">
        <v>8</v>
      </c>
      <c r="H13" s="49" t="s">
        <v>1953</v>
      </c>
      <c r="I13" s="49"/>
      <c r="J13" s="49"/>
      <c r="K13" s="49"/>
      <c r="L13" s="49"/>
      <c r="M13" s="49"/>
      <c r="N13" s="292"/>
      <c r="O13" s="298"/>
      <c r="W13" s="292"/>
      <c r="X13" s="292"/>
      <c r="Y13" s="292"/>
      <c r="Z13" s="292"/>
      <c r="AA13" s="298"/>
    </row>
    <row r="14" spans="1:27" s="60" customFormat="1" ht="15" customHeight="1" x14ac:dyDescent="0.2">
      <c r="E14" s="225"/>
      <c r="G14" s="237">
        <v>150</v>
      </c>
      <c r="H14" s="49" t="s">
        <v>1933</v>
      </c>
      <c r="I14" s="49"/>
      <c r="J14" s="49"/>
      <c r="K14" s="49"/>
      <c r="L14" s="49"/>
      <c r="M14" s="298"/>
      <c r="N14" s="292"/>
      <c r="O14" s="298"/>
      <c r="W14" s="26"/>
      <c r="X14" s="26"/>
      <c r="Y14" s="292"/>
      <c r="Z14" s="292"/>
      <c r="AA14" s="298"/>
    </row>
    <row r="15" spans="1:27" s="60" customFormat="1" ht="15" customHeight="1" x14ac:dyDescent="0.2">
      <c r="E15" s="225"/>
      <c r="F15" s="266"/>
      <c r="G15" s="266"/>
      <c r="H15" s="49"/>
      <c r="I15" s="49"/>
      <c r="J15" s="49"/>
      <c r="K15" s="49"/>
      <c r="L15" s="298"/>
      <c r="M15" s="298"/>
      <c r="N15" s="292"/>
      <c r="O15" s="298"/>
      <c r="W15" s="26"/>
      <c r="X15" s="26"/>
      <c r="Y15" s="292"/>
      <c r="Z15" s="292"/>
      <c r="AA15" s="298"/>
    </row>
    <row r="16" spans="1:27" s="60" customFormat="1" ht="15" customHeight="1" x14ac:dyDescent="0.2">
      <c r="F16" s="225" t="s">
        <v>637</v>
      </c>
      <c r="G16" s="224">
        <f>W16*5</f>
        <v>750</v>
      </c>
      <c r="H16" s="273" t="s">
        <v>558</v>
      </c>
      <c r="I16" s="169" t="s">
        <v>1140</v>
      </c>
      <c r="J16" s="49"/>
      <c r="K16" s="49"/>
      <c r="L16" s="49"/>
      <c r="M16" s="298"/>
      <c r="N16" s="292"/>
      <c r="O16" s="298"/>
      <c r="W16" s="325" t="str">
        <f>IF(G13&lt;10,"150",IF(AND(G13&gt;=10,G13&lt;20),"100",IF(AND(G13&gt;=20,G13&lt;50),"80",0)))</f>
        <v>150</v>
      </c>
      <c r="X16" s="26" t="s">
        <v>653</v>
      </c>
      <c r="Y16" s="292"/>
      <c r="Z16" s="292"/>
      <c r="AA16" s="298"/>
    </row>
    <row r="17" spans="4:27" s="60" customFormat="1" ht="15" customHeight="1" x14ac:dyDescent="0.2">
      <c r="F17" s="226" t="s">
        <v>1139</v>
      </c>
      <c r="G17" s="276">
        <f>(W17*5)/3</f>
        <v>333.33333333333331</v>
      </c>
      <c r="H17" s="273" t="s">
        <v>558</v>
      </c>
      <c r="I17" s="277" t="str">
        <f>IF(G14&lt;60,"20-00-30",IF(AND(G14&gt;=60,G14&lt;120),"20-00-20",IF(AND(G14&gt;=120,G14&lt;200),"20-00-15",IF(AND(G14&gt;=200,G14&lt;280),"20-00-10","Sulfato de Amônio"))))</f>
        <v>20-00-15</v>
      </c>
      <c r="J17" s="49"/>
      <c r="K17" s="49"/>
      <c r="L17" s="49"/>
      <c r="M17" s="298"/>
      <c r="N17" s="292"/>
      <c r="O17" s="298"/>
      <c r="W17" s="171">
        <v>200</v>
      </c>
      <c r="X17" s="26" t="s">
        <v>654</v>
      </c>
      <c r="Y17" s="292"/>
      <c r="Z17" s="292"/>
      <c r="AA17" s="298"/>
    </row>
    <row r="18" spans="4:27" s="60" customFormat="1" ht="15" customHeight="1" x14ac:dyDescent="0.2">
      <c r="D18" s="266"/>
      <c r="H18" s="298"/>
      <c r="I18" s="298"/>
      <c r="J18" s="298"/>
      <c r="K18" s="298"/>
      <c r="L18" s="298"/>
      <c r="M18" s="298"/>
      <c r="N18" s="292"/>
      <c r="O18" s="298"/>
      <c r="W18" s="26"/>
      <c r="X18" s="26"/>
      <c r="Y18" s="292"/>
      <c r="Z18" s="292"/>
      <c r="AA18" s="298"/>
    </row>
    <row r="19" spans="4:27" s="60" customFormat="1" ht="15" customHeight="1" x14ac:dyDescent="0.25">
      <c r="D19" s="164" t="s">
        <v>2013</v>
      </c>
      <c r="E19" s="34"/>
      <c r="F19" s="266"/>
      <c r="G19" s="266"/>
      <c r="H19" s="171"/>
      <c r="I19" s="171"/>
      <c r="J19" s="26"/>
      <c r="K19" s="26"/>
      <c r="L19" s="298"/>
      <c r="M19" s="298"/>
      <c r="N19" s="292"/>
      <c r="O19" s="298"/>
      <c r="W19" s="26"/>
      <c r="X19" s="26"/>
      <c r="Y19" s="292"/>
      <c r="Z19" s="292"/>
      <c r="AA19" s="298"/>
    </row>
    <row r="20" spans="4:27" s="60" customFormat="1" ht="15" customHeight="1" x14ac:dyDescent="0.2">
      <c r="D20" s="266"/>
      <c r="E20" s="266"/>
      <c r="F20" s="266"/>
      <c r="G20" s="266"/>
      <c r="H20" s="171"/>
      <c r="I20" s="171"/>
      <c r="J20" s="26"/>
      <c r="K20" s="26"/>
      <c r="L20" s="298"/>
      <c r="M20" s="298"/>
      <c r="N20" s="292"/>
      <c r="O20" s="298"/>
      <c r="W20" s="26"/>
      <c r="X20" s="26"/>
      <c r="Y20" s="292"/>
      <c r="Z20" s="292"/>
      <c r="AA20" s="298"/>
    </row>
    <row r="21" spans="4:27" s="60" customFormat="1" ht="15" customHeight="1" x14ac:dyDescent="0.2">
      <c r="D21" s="60" t="s">
        <v>338</v>
      </c>
      <c r="G21" s="237">
        <v>5</v>
      </c>
      <c r="H21" s="49" t="s">
        <v>1953</v>
      </c>
      <c r="I21" s="171"/>
      <c r="J21" s="49"/>
      <c r="K21" s="49"/>
      <c r="L21" s="298"/>
      <c r="M21" s="298"/>
      <c r="N21" s="292"/>
      <c r="O21" s="298"/>
      <c r="W21" s="26"/>
      <c r="X21" s="26"/>
      <c r="Y21" s="292"/>
      <c r="Z21" s="292"/>
      <c r="AA21" s="298"/>
    </row>
    <row r="22" spans="4:27" s="60" customFormat="1" ht="15" customHeight="1" x14ac:dyDescent="0.2">
      <c r="E22" s="266"/>
      <c r="G22" s="237">
        <v>150</v>
      </c>
      <c r="H22" s="49" t="s">
        <v>1933</v>
      </c>
      <c r="I22" s="49"/>
      <c r="J22" s="49"/>
      <c r="K22" s="49"/>
      <c r="L22" s="298"/>
      <c r="M22" s="298"/>
      <c r="N22" s="292"/>
      <c r="O22" s="298"/>
      <c r="W22" s="26"/>
      <c r="X22" s="26"/>
      <c r="Y22" s="292"/>
      <c r="Z22" s="292"/>
      <c r="AA22" s="298"/>
    </row>
    <row r="23" spans="4:27" s="60" customFormat="1" ht="15" customHeight="1" x14ac:dyDescent="0.2">
      <c r="D23" s="266"/>
      <c r="E23" s="266"/>
      <c r="F23" s="266"/>
      <c r="G23" s="266"/>
      <c r="H23" s="49"/>
      <c r="I23" s="49"/>
      <c r="J23" s="49"/>
      <c r="K23" s="49"/>
      <c r="L23" s="298"/>
      <c r="M23" s="298"/>
      <c r="N23" s="292"/>
      <c r="O23" s="298"/>
      <c r="W23" s="26"/>
      <c r="X23" s="26"/>
      <c r="Y23" s="292"/>
      <c r="Z23" s="292"/>
      <c r="AA23" s="298"/>
    </row>
    <row r="24" spans="4:27" s="60" customFormat="1" ht="15" customHeight="1" x14ac:dyDescent="0.2">
      <c r="F24" s="225" t="s">
        <v>637</v>
      </c>
      <c r="G24" s="224">
        <f>W24*5</f>
        <v>1000</v>
      </c>
      <c r="H24" s="273" t="s">
        <v>558</v>
      </c>
      <c r="I24" s="169" t="s">
        <v>1140</v>
      </c>
      <c r="J24" s="49"/>
      <c r="K24" s="49"/>
      <c r="L24" s="298"/>
      <c r="M24" s="298"/>
      <c r="N24" s="292"/>
      <c r="O24" s="298"/>
      <c r="W24" s="325" t="str">
        <f>IF(G21&lt;10,"200",IF(AND(G21&gt;=10,G21&lt;20),"150",IF(AND(G21&gt;=20,G21&lt;50),"100",0)))</f>
        <v>200</v>
      </c>
      <c r="X24" s="26" t="s">
        <v>653</v>
      </c>
      <c r="Y24" s="292"/>
      <c r="Z24" s="292"/>
      <c r="AA24" s="298"/>
    </row>
    <row r="25" spans="4:27" s="60" customFormat="1" ht="15" customHeight="1" x14ac:dyDescent="0.2">
      <c r="F25" s="226" t="s">
        <v>1139</v>
      </c>
      <c r="G25" s="276">
        <f>((W25*100)/20)/3</f>
        <v>500</v>
      </c>
      <c r="H25" s="273" t="s">
        <v>558</v>
      </c>
      <c r="I25" s="277" t="str">
        <f>IF(G22&lt;60,"20-00-30",IF(AND(G22&gt;=60,G22&lt;120),"20-00-20",IF(AND(G22&gt;=120,G22&lt;200),"20-00-15",IF(AND(G22&gt;=200,G22&lt;280),"20-00-10","Sulfato de Amônio"))))</f>
        <v>20-00-15</v>
      </c>
      <c r="J25" s="49"/>
      <c r="K25" s="49"/>
      <c r="L25" s="298"/>
      <c r="M25" s="298"/>
      <c r="N25" s="292"/>
      <c r="O25" s="298"/>
      <c r="W25" s="171">
        <v>300</v>
      </c>
      <c r="X25" s="26" t="s">
        <v>654</v>
      </c>
      <c r="Y25" s="292"/>
      <c r="Z25" s="292"/>
      <c r="AA25" s="298"/>
    </row>
    <row r="26" spans="4:27" s="60" customFormat="1" ht="15" customHeight="1" x14ac:dyDescent="0.2">
      <c r="D26" s="266"/>
      <c r="E26" s="266"/>
      <c r="F26" s="266"/>
      <c r="G26" s="266"/>
      <c r="H26" s="49"/>
      <c r="I26" s="325"/>
      <c r="J26" s="49"/>
      <c r="K26" s="49"/>
      <c r="L26" s="298"/>
      <c r="M26" s="298"/>
      <c r="N26" s="292"/>
      <c r="O26" s="298"/>
      <c r="W26" s="26"/>
      <c r="X26" s="26"/>
      <c r="Y26" s="292"/>
      <c r="Z26" s="292"/>
      <c r="AA26" s="298"/>
    </row>
    <row r="27" spans="4:27" ht="15" customHeight="1" x14ac:dyDescent="0.25">
      <c r="D27" s="282" t="s">
        <v>2014</v>
      </c>
      <c r="E27" s="281"/>
      <c r="F27" s="281"/>
      <c r="G27" s="281"/>
      <c r="H27" s="273"/>
      <c r="I27" s="273"/>
      <c r="J27" s="273"/>
      <c r="K27" s="273"/>
      <c r="L27" s="49"/>
      <c r="M27" s="49"/>
      <c r="N27" s="26"/>
      <c r="O27" s="49"/>
      <c r="W27" s="273"/>
      <c r="X27" s="273"/>
      <c r="Y27" s="26"/>
      <c r="Z27" s="26"/>
      <c r="AA27" s="49"/>
    </row>
    <row r="28" spans="4:27" ht="15" customHeight="1" x14ac:dyDescent="0.2">
      <c r="D28" s="275"/>
      <c r="E28" s="281"/>
      <c r="F28" s="281"/>
      <c r="G28" s="281"/>
      <c r="H28" s="273"/>
      <c r="I28" s="273"/>
      <c r="J28" s="273"/>
      <c r="K28" s="273"/>
      <c r="L28" s="49"/>
      <c r="M28" s="49"/>
      <c r="N28" s="26"/>
      <c r="O28" s="49"/>
      <c r="W28" s="315">
        <f xml:space="preserve"> G30*(60-G29)/G32</f>
        <v>2.3333333333333335</v>
      </c>
      <c r="X28" s="26" t="s">
        <v>349</v>
      </c>
      <c r="Y28" s="26"/>
      <c r="Z28" s="26"/>
      <c r="AA28" s="49"/>
    </row>
    <row r="29" spans="4:27" ht="15" customHeight="1" x14ac:dyDescent="0.2">
      <c r="D29" s="281" t="s">
        <v>338</v>
      </c>
      <c r="G29" s="237">
        <v>30</v>
      </c>
      <c r="H29" s="273" t="s">
        <v>1934</v>
      </c>
      <c r="I29" s="170"/>
      <c r="J29" s="273"/>
      <c r="K29" s="273"/>
      <c r="L29" s="273"/>
      <c r="M29" s="49"/>
      <c r="N29" s="26"/>
      <c r="O29" s="49"/>
      <c r="W29" s="315"/>
      <c r="X29" s="26"/>
      <c r="Y29" s="26"/>
      <c r="Z29" s="26"/>
      <c r="AA29" s="49"/>
    </row>
    <row r="30" spans="4:27" ht="15" customHeight="1" x14ac:dyDescent="0.2">
      <c r="D30" s="281"/>
      <c r="G30" s="5">
        <v>7</v>
      </c>
      <c r="H30" s="273" t="s">
        <v>1929</v>
      </c>
      <c r="I30" s="170"/>
      <c r="J30" s="171"/>
      <c r="K30" s="171"/>
      <c r="L30" s="171"/>
      <c r="M30" s="49"/>
      <c r="N30" s="26"/>
      <c r="O30" s="49"/>
      <c r="W30" s="273"/>
      <c r="X30" s="273"/>
      <c r="Y30" s="26"/>
      <c r="Z30" s="26"/>
      <c r="AA30" s="49"/>
    </row>
    <row r="31" spans="4:27" s="27" customFormat="1" ht="15" customHeight="1" x14ac:dyDescent="0.2">
      <c r="D31" s="283"/>
      <c r="E31" s="208"/>
      <c r="F31" s="275"/>
      <c r="G31" s="283"/>
      <c r="H31" s="171"/>
      <c r="I31" s="171"/>
      <c r="J31" s="171"/>
      <c r="K31" s="171"/>
      <c r="L31" s="26"/>
      <c r="M31" s="26"/>
      <c r="N31" s="26"/>
      <c r="O31" s="273"/>
      <c r="P31" s="283"/>
    </row>
    <row r="32" spans="4:27" ht="15" customHeight="1" x14ac:dyDescent="0.2">
      <c r="D32" s="292" t="s">
        <v>565</v>
      </c>
      <c r="G32" s="237">
        <v>90</v>
      </c>
      <c r="H32" s="273" t="s">
        <v>341</v>
      </c>
      <c r="I32" s="273"/>
      <c r="J32" s="273"/>
      <c r="K32" s="171"/>
      <c r="L32" s="49"/>
      <c r="M32" s="49"/>
      <c r="N32" s="26"/>
      <c r="O32" s="273"/>
      <c r="P32" s="283"/>
      <c r="Q32" s="27"/>
      <c r="R32" s="27"/>
    </row>
    <row r="33" spans="4:18" ht="15" customHeight="1" x14ac:dyDescent="0.2">
      <c r="D33" s="281"/>
      <c r="E33" s="281"/>
      <c r="F33" s="281"/>
      <c r="G33" s="281"/>
      <c r="H33" s="273"/>
      <c r="I33" s="170"/>
      <c r="J33" s="170"/>
      <c r="K33" s="170"/>
      <c r="L33" s="49"/>
      <c r="M33" s="49"/>
      <c r="N33" s="26"/>
      <c r="O33" s="220"/>
      <c r="P33" s="27"/>
      <c r="Q33" s="27"/>
      <c r="R33" s="27"/>
    </row>
    <row r="34" spans="4:18" ht="15" customHeight="1" x14ac:dyDescent="0.2">
      <c r="D34" s="273" t="s">
        <v>1708</v>
      </c>
      <c r="E34" s="283"/>
      <c r="G34" s="286">
        <f>IF(W28&gt;0,W28,0)</f>
        <v>2.3333333333333335</v>
      </c>
      <c r="H34" s="273" t="s">
        <v>2015</v>
      </c>
      <c r="I34" s="170"/>
      <c r="J34" s="170"/>
      <c r="K34" s="170"/>
      <c r="L34" s="170"/>
      <c r="M34" s="170"/>
      <c r="N34" s="26"/>
      <c r="O34" s="26"/>
      <c r="P34" s="27"/>
      <c r="Q34" s="27"/>
      <c r="R34" s="27"/>
    </row>
    <row r="35" spans="4:18" ht="15" customHeight="1" x14ac:dyDescent="0.2">
      <c r="D35" s="275"/>
      <c r="E35" s="220"/>
      <c r="F35" s="280"/>
      <c r="G35" s="281"/>
      <c r="H35" s="170"/>
      <c r="I35" s="170"/>
      <c r="J35" s="170"/>
      <c r="K35" s="170"/>
      <c r="L35" s="170"/>
      <c r="M35" s="170"/>
      <c r="N35" s="26"/>
      <c r="O35" s="26"/>
      <c r="P35" s="27"/>
      <c r="Q35" s="27"/>
      <c r="R35" s="27"/>
    </row>
    <row r="36" spans="4:18" ht="15" customHeight="1" x14ac:dyDescent="0.2">
      <c r="D36" s="169"/>
      <c r="H36" s="171"/>
      <c r="I36" s="49"/>
      <c r="J36" s="49"/>
      <c r="K36" s="49"/>
      <c r="L36" s="49"/>
      <c r="M36" s="49"/>
      <c r="N36" s="27"/>
      <c r="O36" s="27"/>
      <c r="P36" s="27"/>
      <c r="Q36" s="27"/>
      <c r="R36" s="27"/>
    </row>
    <row r="37" spans="4:18" ht="15" customHeight="1" x14ac:dyDescent="0.2">
      <c r="E37" s="213"/>
      <c r="F37" s="213"/>
      <c r="G37" s="213"/>
      <c r="H37" s="272"/>
      <c r="I37" s="213"/>
      <c r="J37" s="213"/>
      <c r="K37" s="213"/>
      <c r="L37" s="213"/>
      <c r="M37" s="213"/>
      <c r="N37" s="27"/>
      <c r="O37" s="27"/>
      <c r="P37" s="27"/>
      <c r="Q37" s="27"/>
      <c r="R37" s="27"/>
    </row>
    <row r="38" spans="4:18" ht="15" customHeight="1" x14ac:dyDescent="0.2">
      <c r="D38" s="275"/>
      <c r="E38" s="281"/>
      <c r="F38" s="281"/>
      <c r="G38" s="281"/>
      <c r="H38" s="281"/>
      <c r="I38" s="281"/>
      <c r="J38" s="281"/>
      <c r="K38" s="281"/>
      <c r="L38" s="281"/>
      <c r="M38" s="281"/>
      <c r="N38" s="27"/>
      <c r="O38" s="27"/>
      <c r="P38" s="27"/>
      <c r="Q38" s="27"/>
      <c r="R38" s="27"/>
    </row>
    <row r="39" spans="4:18" ht="15" customHeight="1" x14ac:dyDescent="0.2">
      <c r="D39" s="275"/>
      <c r="E39" s="281"/>
      <c r="F39" s="281"/>
      <c r="G39" s="281"/>
      <c r="H39" s="281"/>
      <c r="I39" s="281"/>
      <c r="J39" s="281"/>
      <c r="K39" s="281"/>
      <c r="L39" s="281"/>
      <c r="M39" s="281"/>
      <c r="N39" s="27"/>
      <c r="O39" s="27"/>
      <c r="P39" s="27"/>
      <c r="Q39" s="27"/>
      <c r="R39" s="27"/>
    </row>
    <row r="40" spans="4:18" ht="15" customHeight="1" x14ac:dyDescent="0.2">
      <c r="D40" s="275"/>
      <c r="E40" s="281"/>
      <c r="F40" s="281"/>
      <c r="G40" s="281"/>
      <c r="H40" s="281"/>
      <c r="I40" s="281"/>
      <c r="J40" s="281"/>
      <c r="K40" s="281"/>
      <c r="L40" s="281"/>
      <c r="M40" s="281"/>
    </row>
    <row r="41" spans="4:18" ht="15" customHeight="1" x14ac:dyDescent="0.2"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</row>
    <row r="42" spans="4:18" ht="15" customHeight="1" x14ac:dyDescent="0.2">
      <c r="D42" s="267"/>
      <c r="E42" s="60"/>
      <c r="F42" s="60"/>
      <c r="G42" s="60"/>
      <c r="H42" s="60"/>
      <c r="I42" s="60"/>
      <c r="J42" s="60"/>
      <c r="K42" s="60"/>
      <c r="L42" s="60"/>
      <c r="M42" s="60"/>
    </row>
    <row r="43" spans="4:18" s="60" customFormat="1" ht="15" customHeight="1" x14ac:dyDescent="0.2">
      <c r="D43" s="226" t="s">
        <v>891</v>
      </c>
      <c r="E43" s="771">
        <f ca="1">TODAY()</f>
        <v>45064</v>
      </c>
      <c r="F43" s="772"/>
      <c r="G43" s="60" t="s">
        <v>373</v>
      </c>
    </row>
    <row r="44" spans="4:18" s="60" customFormat="1" ht="15" customHeight="1" x14ac:dyDescent="0.2">
      <c r="D44" s="267"/>
    </row>
    <row r="45" spans="4:18" s="60" customFormat="1" ht="15" customHeight="1" x14ac:dyDescent="0.2">
      <c r="D45" s="267"/>
    </row>
    <row r="46" spans="4:18" s="60" customFormat="1" ht="15" customHeight="1" x14ac:dyDescent="0.2">
      <c r="D46" s="267"/>
    </row>
    <row r="47" spans="4:18" s="60" customFormat="1" ht="15" customHeight="1" x14ac:dyDescent="0.2">
      <c r="D47" s="267"/>
    </row>
    <row r="48" spans="4:18" s="60" customFormat="1" ht="15" customHeight="1" x14ac:dyDescent="0.2">
      <c r="D48" s="267"/>
      <c r="I48" s="266"/>
    </row>
    <row r="49" spans="2:9" ht="15" customHeight="1" x14ac:dyDescent="0.2">
      <c r="B49" s="60"/>
      <c r="C49" s="267"/>
      <c r="D49" s="267"/>
      <c r="E49" s="60"/>
      <c r="F49" s="60"/>
      <c r="G49" s="60"/>
      <c r="H49" s="60"/>
      <c r="I49" s="60"/>
    </row>
    <row r="50" spans="2:9" ht="15" customHeight="1" x14ac:dyDescent="0.2">
      <c r="B50" s="60"/>
      <c r="C50" s="267"/>
      <c r="D50" s="267"/>
      <c r="E50" s="60"/>
      <c r="F50" s="60"/>
      <c r="G50" s="60"/>
      <c r="H50" s="60"/>
      <c r="I50" s="60"/>
    </row>
    <row r="51" spans="2:9" ht="15" customHeight="1" x14ac:dyDescent="0.2">
      <c r="B51" s="60"/>
      <c r="C51" s="267"/>
      <c r="D51" s="267"/>
      <c r="E51" s="60"/>
      <c r="F51" s="60"/>
      <c r="G51" s="60"/>
      <c r="H51" s="60"/>
      <c r="I51" s="60"/>
    </row>
    <row r="52" spans="2:9" ht="15" customHeight="1" x14ac:dyDescent="0.2">
      <c r="B52" s="60"/>
      <c r="C52" s="267"/>
      <c r="D52" s="267"/>
      <c r="E52" s="60"/>
      <c r="F52" s="60"/>
      <c r="G52" s="60"/>
      <c r="H52" s="60"/>
      <c r="I52" s="60"/>
    </row>
    <row r="53" spans="2:9" ht="15" customHeight="1" x14ac:dyDescent="0.2">
      <c r="B53" s="60"/>
      <c r="F53" s="60"/>
      <c r="G53" s="60"/>
      <c r="H53" s="60"/>
      <c r="I53" s="60"/>
    </row>
  </sheetData>
  <sheetProtection algorithmName="SHA-512" hashValue="LM0A/2Wgx8MXe5A8T7fh4WvIxeMjRZgzKCS0bTl4EjsM0WLdu7LcwJ+hW8F2iMVe3efCHXKkvV+08T3qWERjDw==" saltValue="aRhnw5lqdZvB16CLv0M66Q==" spinCount="100000" sheet="1" objects="1" scenarios="1" selectLockedCells="1"/>
  <mergeCells count="3">
    <mergeCell ref="E43:F43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9">
    <pageSetUpPr fitToPage="1"/>
  </sheetPr>
  <dimension ref="A1:AB5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1990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164" customFormat="1" ht="15" customHeight="1" x14ac:dyDescent="0.25">
      <c r="D10" s="322"/>
      <c r="E10" s="322"/>
      <c r="G10" s="322"/>
      <c r="H10" s="322"/>
      <c r="I10" s="322"/>
    </row>
    <row r="11" spans="1:16" ht="15" customHeight="1" x14ac:dyDescent="0.2">
      <c r="D11" s="60" t="s">
        <v>671</v>
      </c>
      <c r="G11" s="237">
        <v>6</v>
      </c>
      <c r="H11" s="265" t="s">
        <v>352</v>
      </c>
      <c r="I11" s="237">
        <v>4</v>
      </c>
      <c r="J11" s="265" t="s">
        <v>672</v>
      </c>
      <c r="K11" s="310">
        <f>10000/(G11*I11)</f>
        <v>416.66666666666669</v>
      </c>
      <c r="L11" s="281" t="s">
        <v>353</v>
      </c>
    </row>
    <row r="12" spans="1:16" ht="15" customHeight="1" x14ac:dyDescent="0.2"/>
    <row r="13" spans="1:16" s="60" customFormat="1" ht="15" customHeight="1" x14ac:dyDescent="0.25">
      <c r="D13" s="164" t="s">
        <v>2016</v>
      </c>
      <c r="E13" s="34"/>
      <c r="G13" s="34"/>
      <c r="H13" s="266"/>
      <c r="I13" s="263"/>
      <c r="J13" s="263"/>
      <c r="K13" s="27"/>
      <c r="L13" s="27"/>
      <c r="M13" s="27"/>
      <c r="N13" s="266"/>
    </row>
    <row r="14" spans="1:16" s="60" customFormat="1" ht="15" customHeight="1" x14ac:dyDescent="0.2">
      <c r="D14" s="266"/>
      <c r="E14" s="266"/>
      <c r="G14" s="266"/>
      <c r="H14" s="266"/>
      <c r="I14" s="263"/>
      <c r="J14" s="263"/>
      <c r="K14" s="27"/>
      <c r="L14" s="27"/>
      <c r="M14" s="27"/>
      <c r="N14" s="266"/>
    </row>
    <row r="15" spans="1:16" s="60" customFormat="1" ht="15" customHeight="1" x14ac:dyDescent="0.2">
      <c r="D15" s="60" t="s">
        <v>338</v>
      </c>
      <c r="G15" s="237">
        <v>121</v>
      </c>
      <c r="H15" s="266" t="s">
        <v>1953</v>
      </c>
      <c r="I15" s="272"/>
      <c r="J15" s="266"/>
      <c r="K15" s="266"/>
      <c r="L15" s="266"/>
      <c r="M15" s="266"/>
      <c r="N15" s="266"/>
    </row>
    <row r="16" spans="1:16" s="60" customFormat="1" ht="15" customHeight="1" x14ac:dyDescent="0.2">
      <c r="E16" s="266"/>
      <c r="G16" s="237">
        <v>154</v>
      </c>
      <c r="H16" s="266" t="s">
        <v>1933</v>
      </c>
      <c r="I16" s="266"/>
      <c r="J16" s="266"/>
      <c r="K16" s="266"/>
      <c r="L16" s="266"/>
      <c r="M16" s="266"/>
      <c r="N16" s="266"/>
    </row>
    <row r="17" spans="4:28" s="60" customFormat="1" ht="15" customHeight="1" x14ac:dyDescent="0.2">
      <c r="D17" s="266"/>
      <c r="E17" s="263"/>
      <c r="G17" s="266"/>
      <c r="H17" s="271"/>
      <c r="I17" s="266"/>
      <c r="J17" s="266"/>
      <c r="K17" s="266"/>
      <c r="L17" s="266"/>
      <c r="M17" s="266"/>
      <c r="N17" s="266"/>
      <c r="X17" s="292"/>
      <c r="Y17" s="292"/>
      <c r="Z17" s="292"/>
      <c r="AA17" s="292"/>
      <c r="AB17" s="292"/>
    </row>
    <row r="18" spans="4:28" s="60" customFormat="1" ht="15" customHeight="1" x14ac:dyDescent="0.2">
      <c r="D18" s="60" t="s">
        <v>655</v>
      </c>
      <c r="G18" s="237">
        <v>10</v>
      </c>
      <c r="H18" s="266" t="s">
        <v>349</v>
      </c>
      <c r="J18" s="266"/>
      <c r="K18" s="266"/>
      <c r="L18" s="266"/>
      <c r="M18" s="266"/>
      <c r="X18" s="292"/>
      <c r="Y18" s="26"/>
      <c r="Z18" s="292"/>
      <c r="AA18" s="292"/>
      <c r="AB18" s="292"/>
    </row>
    <row r="19" spans="4:28" s="60" customFormat="1" ht="15" customHeight="1" x14ac:dyDescent="0.2">
      <c r="D19" s="266"/>
      <c r="E19" s="263"/>
      <c r="G19" s="266"/>
      <c r="H19" s="271"/>
      <c r="I19" s="266"/>
      <c r="J19" s="266"/>
      <c r="K19" s="266"/>
      <c r="L19" s="266"/>
      <c r="X19" s="292"/>
      <c r="Y19" s="26"/>
      <c r="Z19" s="26"/>
      <c r="AA19" s="292"/>
      <c r="AB19" s="292"/>
    </row>
    <row r="20" spans="4:28" ht="15" customHeight="1" x14ac:dyDescent="0.2">
      <c r="F20" s="225" t="s">
        <v>637</v>
      </c>
      <c r="G20" s="224">
        <f>1000*((Y20*5)/K11)</f>
        <v>0</v>
      </c>
      <c r="H20" s="280" t="s">
        <v>558</v>
      </c>
      <c r="I20" s="169" t="s">
        <v>1140</v>
      </c>
      <c r="X20" s="26"/>
      <c r="Y20" s="325">
        <f>IF(G15&lt;10,"100",IF(AND(G15&gt;=10,G15&lt;20),"80",IF(AND(G15&gt;=20,G15&lt;50),"40",0)))</f>
        <v>0</v>
      </c>
      <c r="Z20" s="26" t="s">
        <v>651</v>
      </c>
      <c r="AA20" s="26"/>
      <c r="AB20" s="26"/>
    </row>
    <row r="21" spans="4:28" ht="15" customHeight="1" x14ac:dyDescent="0.2">
      <c r="F21" s="226" t="s">
        <v>1139</v>
      </c>
      <c r="G21" s="276">
        <f>1000*((Y21*5)/K11)/3</f>
        <v>560</v>
      </c>
      <c r="H21" s="280" t="s">
        <v>558</v>
      </c>
      <c r="I21" s="277" t="str">
        <f>IF(G16&lt;60,"20-00-30",IF(AND(G16&gt;=60,G16&lt;120),"20-00-20",IF(AND(G16&gt;=120,G16&lt;200),"20-00-15",IF(AND(G16&gt;=200,G16&lt;280),"20-00-10","Sulfato de Amônio"))))</f>
        <v>20-00-15</v>
      </c>
      <c r="X21" s="26"/>
      <c r="Y21" s="171">
        <f>IF(G18&lt;10,90,IF(AND(G18&gt;=10,G18&lt;20),140,180))</f>
        <v>140</v>
      </c>
      <c r="Z21" s="26" t="s">
        <v>652</v>
      </c>
      <c r="AA21" s="26"/>
      <c r="AB21" s="26"/>
    </row>
    <row r="22" spans="4:28" ht="15" customHeight="1" x14ac:dyDescent="0.2">
      <c r="I22" s="279"/>
      <c r="X22" s="26"/>
      <c r="Y22" s="26"/>
      <c r="Z22" s="26"/>
      <c r="AA22" s="26"/>
      <c r="AB22" s="26"/>
    </row>
    <row r="23" spans="4:28" ht="15" customHeight="1" x14ac:dyDescent="0.25">
      <c r="D23" s="282" t="s">
        <v>2017</v>
      </c>
      <c r="E23" s="281"/>
      <c r="F23" s="281"/>
      <c r="G23" s="281"/>
      <c r="H23" s="283"/>
      <c r="I23" s="283"/>
      <c r="J23" s="283"/>
      <c r="K23" s="283"/>
      <c r="X23" s="26"/>
      <c r="Y23" s="273"/>
      <c r="Z23" s="273"/>
      <c r="AA23" s="26"/>
      <c r="AB23" s="26"/>
    </row>
    <row r="24" spans="4:28" ht="15" customHeight="1" x14ac:dyDescent="0.2">
      <c r="D24" s="275"/>
      <c r="E24" s="281"/>
      <c r="G24" s="281"/>
      <c r="H24" s="281"/>
      <c r="I24" s="283"/>
      <c r="J24" s="283"/>
      <c r="K24" s="283"/>
      <c r="X24" s="26"/>
      <c r="Y24" s="315"/>
      <c r="Z24" s="26"/>
      <c r="AA24" s="26"/>
      <c r="AB24" s="26"/>
    </row>
    <row r="25" spans="4:28" ht="15" customHeight="1" x14ac:dyDescent="0.2">
      <c r="D25" s="60" t="s">
        <v>338</v>
      </c>
      <c r="G25" s="237">
        <v>30</v>
      </c>
      <c r="H25" s="283" t="s">
        <v>1929</v>
      </c>
      <c r="I25" s="281"/>
      <c r="J25" s="283"/>
      <c r="K25" s="283"/>
      <c r="X25" s="26"/>
      <c r="Y25" s="315"/>
      <c r="Z25" s="26"/>
      <c r="AA25" s="26"/>
      <c r="AB25" s="26"/>
    </row>
    <row r="26" spans="4:28" ht="15" customHeight="1" x14ac:dyDescent="0.2">
      <c r="E26" s="281"/>
      <c r="G26" s="5">
        <v>5</v>
      </c>
      <c r="H26" s="275" t="s">
        <v>1934</v>
      </c>
      <c r="I26" s="281"/>
      <c r="J26" s="272"/>
      <c r="K26" s="272"/>
      <c r="M26" s="283"/>
      <c r="X26" s="26"/>
      <c r="Y26" s="26"/>
      <c r="Z26" s="26"/>
      <c r="AA26" s="26"/>
      <c r="AB26" s="26"/>
    </row>
    <row r="27" spans="4:28" ht="15" customHeight="1" x14ac:dyDescent="0.2">
      <c r="D27" s="27"/>
      <c r="E27" s="283"/>
      <c r="F27" s="27"/>
      <c r="G27" s="208"/>
      <c r="H27" s="275"/>
      <c r="I27" s="283"/>
      <c r="J27" s="272"/>
      <c r="K27" s="272"/>
      <c r="L27" s="27"/>
      <c r="M27" s="283"/>
      <c r="X27" s="26"/>
      <c r="Y27" s="26"/>
      <c r="Z27" s="26"/>
      <c r="AA27" s="26"/>
      <c r="AB27" s="26"/>
    </row>
    <row r="28" spans="4:28" ht="15" customHeight="1" x14ac:dyDescent="0.2">
      <c r="D28" s="273" t="s">
        <v>340</v>
      </c>
      <c r="E28" s="281"/>
      <c r="G28" s="237">
        <v>90</v>
      </c>
      <c r="H28" s="49" t="s">
        <v>341</v>
      </c>
      <c r="I28" s="281"/>
      <c r="J28" s="283"/>
      <c r="K28" s="283"/>
      <c r="L28" s="283"/>
      <c r="X28" s="26"/>
      <c r="Y28" s="26"/>
      <c r="Z28" s="26"/>
      <c r="AA28" s="26"/>
      <c r="AB28" s="26"/>
    </row>
    <row r="29" spans="4:28" ht="15" customHeight="1" x14ac:dyDescent="0.2">
      <c r="D29" s="281"/>
      <c r="E29" s="281"/>
      <c r="F29" s="281"/>
      <c r="G29" s="281"/>
      <c r="H29" s="275"/>
      <c r="I29" s="281"/>
      <c r="J29" s="281"/>
      <c r="K29" s="281"/>
      <c r="L29" s="281"/>
      <c r="M29" s="220"/>
      <c r="X29" s="26"/>
      <c r="Y29" s="26"/>
      <c r="Z29" s="26"/>
      <c r="AA29" s="26"/>
      <c r="AB29" s="26"/>
    </row>
    <row r="30" spans="4:28" ht="15" customHeight="1" x14ac:dyDescent="0.2">
      <c r="D30" s="292" t="s">
        <v>1708</v>
      </c>
      <c r="G30" s="353">
        <f>IF((G26*(60-G25)/G28)&gt;0,G26*(60-G25)/G28,0)</f>
        <v>1.6666666666666667</v>
      </c>
      <c r="H30" s="280" t="s">
        <v>1732</v>
      </c>
      <c r="I30" s="170"/>
      <c r="J30" s="170"/>
      <c r="K30" s="170"/>
      <c r="L30" s="281"/>
      <c r="M30" s="281"/>
      <c r="X30" s="26"/>
      <c r="Y30" s="26"/>
      <c r="Z30" s="26"/>
      <c r="AA30" s="26"/>
      <c r="AB30" s="26"/>
    </row>
    <row r="31" spans="4:28" ht="15" customHeight="1" x14ac:dyDescent="0.2">
      <c r="D31" s="275"/>
      <c r="E31" s="220"/>
      <c r="G31" s="280"/>
      <c r="H31" s="170"/>
      <c r="I31" s="170"/>
      <c r="J31" s="170"/>
      <c r="K31" s="170"/>
      <c r="L31" s="281"/>
      <c r="M31" s="281"/>
    </row>
    <row r="32" spans="4:28" ht="15" customHeight="1" x14ac:dyDescent="0.2">
      <c r="D32" s="169"/>
      <c r="H32" s="272"/>
    </row>
    <row r="33" spans="2:16" ht="15" customHeight="1" x14ac:dyDescent="0.2">
      <c r="E33" s="213"/>
      <c r="F33" s="213"/>
      <c r="G33" s="213"/>
      <c r="H33" s="272"/>
      <c r="I33" s="213"/>
      <c r="J33" s="213"/>
      <c r="K33" s="213"/>
      <c r="L33" s="213"/>
      <c r="M33" s="213"/>
    </row>
    <row r="34" spans="2:16" ht="15" customHeight="1" x14ac:dyDescent="0.2">
      <c r="D34" s="275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2:16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281"/>
    </row>
    <row r="36" spans="2:16" ht="15" customHeight="1" x14ac:dyDescent="0.2">
      <c r="D36" s="275"/>
      <c r="E36" s="281"/>
      <c r="F36" s="281"/>
      <c r="G36" s="281"/>
      <c r="H36" s="281"/>
      <c r="I36" s="281"/>
      <c r="J36" s="281"/>
      <c r="K36" s="281"/>
      <c r="L36" s="281"/>
      <c r="M36" s="281"/>
    </row>
    <row r="37" spans="2:16" ht="15" customHeight="1" x14ac:dyDescent="0.2"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</row>
    <row r="38" spans="2:16" ht="15" customHeight="1" x14ac:dyDescent="0.2">
      <c r="D38" s="267"/>
      <c r="E38" s="60"/>
      <c r="F38" s="60"/>
      <c r="G38" s="60"/>
      <c r="H38" s="60"/>
      <c r="I38" s="60"/>
      <c r="J38" s="60"/>
      <c r="K38" s="60"/>
      <c r="L38" s="60"/>
      <c r="M38" s="60"/>
    </row>
    <row r="39" spans="2:16" ht="15" customHeight="1" x14ac:dyDescent="0.2">
      <c r="D39" s="226" t="s">
        <v>891</v>
      </c>
      <c r="E39" s="771">
        <f ca="1">TODAY()</f>
        <v>45064</v>
      </c>
      <c r="F39" s="772"/>
      <c r="G39" s="60" t="s">
        <v>373</v>
      </c>
      <c r="H39" s="60"/>
      <c r="I39" s="60"/>
      <c r="J39" s="60"/>
      <c r="K39" s="60"/>
      <c r="L39" s="60"/>
      <c r="M39" s="60"/>
    </row>
    <row r="40" spans="2:16" ht="15" customHeight="1" x14ac:dyDescent="0.2">
      <c r="N40" s="60"/>
      <c r="O40" s="60"/>
      <c r="P40" s="60"/>
    </row>
    <row r="41" spans="2:16" s="60" customFormat="1" ht="15" hidden="1" customHeight="1" x14ac:dyDescent="0.2">
      <c r="F41" s="267"/>
    </row>
    <row r="42" spans="2:16" s="60" customFormat="1" ht="15" hidden="1" customHeight="1" x14ac:dyDescent="0.2"/>
    <row r="43" spans="2:16" s="60" customFormat="1" ht="15" hidden="1" customHeight="1" x14ac:dyDescent="0.2"/>
    <row r="44" spans="2:16" s="60" customFormat="1" ht="15" hidden="1" customHeight="1" x14ac:dyDescent="0.2">
      <c r="B44" s="267"/>
    </row>
    <row r="45" spans="2:16" s="60" customFormat="1" ht="15" hidden="1" customHeight="1" x14ac:dyDescent="0.2">
      <c r="B45" s="267"/>
    </row>
    <row r="46" spans="2:16" s="60" customFormat="1" ht="15" hidden="1" customHeight="1" x14ac:dyDescent="0.2">
      <c r="B46" s="267"/>
    </row>
    <row r="47" spans="2:16" s="60" customFormat="1" ht="15" hidden="1" customHeight="1" x14ac:dyDescent="0.2">
      <c r="B47" s="267"/>
      <c r="G47" s="266"/>
    </row>
    <row r="48" spans="2:16" ht="15" hidden="1" customHeight="1" x14ac:dyDescent="0.2">
      <c r="B48" s="60"/>
      <c r="C48" s="267"/>
      <c r="D48" s="267"/>
      <c r="E48" s="60"/>
      <c r="F48" s="60"/>
      <c r="G48" s="60"/>
      <c r="H48" s="60"/>
      <c r="I48" s="60"/>
    </row>
    <row r="49" spans="2:9" ht="15" hidden="1" customHeight="1" x14ac:dyDescent="0.2">
      <c r="B49" s="60"/>
      <c r="C49" s="267"/>
      <c r="D49" s="267"/>
      <c r="E49" s="60"/>
      <c r="F49" s="60"/>
      <c r="G49" s="60"/>
      <c r="H49" s="60"/>
      <c r="I49" s="60"/>
    </row>
    <row r="50" spans="2:9" ht="15" hidden="1" customHeight="1" x14ac:dyDescent="0.2">
      <c r="B50" s="60"/>
      <c r="C50" s="267"/>
      <c r="D50" s="267"/>
      <c r="E50" s="60"/>
      <c r="F50" s="60"/>
      <c r="G50" s="60"/>
      <c r="H50" s="60"/>
      <c r="I50" s="60"/>
    </row>
    <row r="51" spans="2:9" ht="15" hidden="1" customHeight="1" x14ac:dyDescent="0.2">
      <c r="B51" s="60"/>
      <c r="C51" s="267"/>
      <c r="D51" s="267"/>
      <c r="E51" s="60"/>
      <c r="F51" s="60"/>
      <c r="G51" s="60"/>
      <c r="H51" s="60"/>
      <c r="I51" s="60"/>
    </row>
    <row r="52" spans="2:9" ht="15" hidden="1" customHeight="1" x14ac:dyDescent="0.2">
      <c r="B52" s="60"/>
      <c r="F52" s="60"/>
      <c r="G52" s="60"/>
      <c r="H52" s="60"/>
      <c r="I52" s="60"/>
    </row>
  </sheetData>
  <sheetProtection algorithmName="SHA-512" hashValue="0yKPmB39F393xzrB3Q0boyTnZ8AkWNmiRF1SBnbir/vvsczMc8QOwqcm0+OUF1R922WD/mywHjqByE9U867Stw==" saltValue="oyeSCxY8gaMBn5DwnQecDQ==" spinCount="100000" sheet="1" objects="1" scenarios="1" selectLockedCells="1"/>
  <mergeCells count="3">
    <mergeCell ref="E39:F39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0">
    <pageSetUpPr fitToPage="1"/>
  </sheetPr>
  <dimension ref="A1:X4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1989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354" t="s">
        <v>351</v>
      </c>
      <c r="G11" s="237">
        <v>1.3</v>
      </c>
      <c r="H11" s="297" t="s">
        <v>352</v>
      </c>
      <c r="I11" s="5">
        <v>0.8</v>
      </c>
      <c r="J11" s="266" t="s">
        <v>355</v>
      </c>
      <c r="K11" s="299">
        <f>10000/(G11*I11)</f>
        <v>9615.3846153846152</v>
      </c>
      <c r="L11" s="266" t="s">
        <v>353</v>
      </c>
    </row>
    <row r="12" spans="1:16" ht="15" customHeight="1" x14ac:dyDescent="0.2">
      <c r="C12" s="355"/>
      <c r="D12" s="265"/>
      <c r="E12" s="271"/>
      <c r="F12" s="271"/>
    </row>
    <row r="13" spans="1:16" ht="15" customHeight="1" x14ac:dyDescent="0.2">
      <c r="D13" s="76" t="s">
        <v>338</v>
      </c>
      <c r="G13" s="237">
        <v>2</v>
      </c>
      <c r="H13" s="49" t="s">
        <v>1953</v>
      </c>
      <c r="I13" s="271"/>
    </row>
    <row r="14" spans="1:16" ht="15" customHeight="1" x14ac:dyDescent="0.2">
      <c r="D14" s="355"/>
      <c r="G14" s="237">
        <v>150</v>
      </c>
      <c r="H14" s="49" t="s">
        <v>1933</v>
      </c>
      <c r="I14" s="271"/>
    </row>
    <row r="15" spans="1:16" ht="15" customHeight="1" x14ac:dyDescent="0.2">
      <c r="D15" s="355"/>
      <c r="G15" s="237">
        <v>8</v>
      </c>
      <c r="H15" s="49" t="s">
        <v>1934</v>
      </c>
      <c r="I15" s="271"/>
    </row>
    <row r="16" spans="1:16" ht="15" customHeight="1" x14ac:dyDescent="0.2">
      <c r="D16" s="355"/>
      <c r="G16" s="237">
        <v>15</v>
      </c>
      <c r="H16" s="49" t="s">
        <v>1929</v>
      </c>
      <c r="I16" s="271"/>
    </row>
    <row r="17" spans="2:24" ht="15" customHeight="1" x14ac:dyDescent="0.2">
      <c r="D17" s="355"/>
      <c r="E17" s="265"/>
      <c r="F17" s="290"/>
      <c r="G17" s="271"/>
      <c r="H17" s="49"/>
    </row>
    <row r="18" spans="2:24" ht="15" customHeight="1" x14ac:dyDescent="0.2">
      <c r="D18" s="356" t="s">
        <v>340</v>
      </c>
      <c r="G18" s="237">
        <v>90</v>
      </c>
      <c r="H18" s="49" t="s">
        <v>341</v>
      </c>
    </row>
    <row r="19" spans="2:24" ht="15" customHeight="1" x14ac:dyDescent="0.2">
      <c r="H19" s="49"/>
    </row>
    <row r="20" spans="2:24" ht="15" customHeight="1" x14ac:dyDescent="0.25">
      <c r="C20" s="291"/>
      <c r="D20" s="291" t="s">
        <v>371</v>
      </c>
      <c r="E20" s="291"/>
      <c r="F20" s="291"/>
      <c r="G20" s="27"/>
      <c r="H20" s="49"/>
      <c r="W20" s="26"/>
      <c r="X20" s="26"/>
    </row>
    <row r="21" spans="2:24" s="213" customFormat="1" ht="15" customHeight="1" x14ac:dyDescent="0.2">
      <c r="D21" s="298" t="s">
        <v>1708</v>
      </c>
      <c r="G21" s="286">
        <f>IF(W21&gt;0,W21,0)</f>
        <v>4</v>
      </c>
      <c r="H21" s="357" t="s">
        <v>349</v>
      </c>
      <c r="I21" s="303"/>
      <c r="W21" s="315">
        <f xml:space="preserve"> G15*(60-G16)/G18</f>
        <v>4</v>
      </c>
      <c r="X21" s="26" t="s">
        <v>119</v>
      </c>
    </row>
    <row r="22" spans="2:24" s="213" customFormat="1" ht="15" customHeight="1" x14ac:dyDescent="0.2">
      <c r="D22" s="298"/>
      <c r="G22" s="286"/>
      <c r="H22" s="357"/>
      <c r="I22" s="303"/>
      <c r="W22" s="315"/>
      <c r="X22" s="26"/>
    </row>
    <row r="23" spans="2:24" ht="15" customHeight="1" x14ac:dyDescent="0.2">
      <c r="D23" s="298" t="s">
        <v>1696</v>
      </c>
      <c r="G23" s="224">
        <v>10</v>
      </c>
      <c r="H23" s="170" t="s">
        <v>558</v>
      </c>
      <c r="I23" s="222" t="str">
        <f>IF(G14&lt;80,"20-00-30",IF(AND(G14&gt;=80,G14&lt;150),"20-00-20",IF(AND(G14&gt;=150,G14&lt;200),"20-00-15",IF(AND(G14&gt;=200,G14&lt;280),"20-00-10","Sulf. Amônio"))))</f>
        <v>20-00-15</v>
      </c>
      <c r="J23" s="266" t="s">
        <v>1133</v>
      </c>
    </row>
    <row r="24" spans="2:24" ht="15" customHeight="1" x14ac:dyDescent="0.2">
      <c r="G24" s="224" t="str">
        <f>IF(G13&lt;20,"150",IF(AND(G13&gt;=20,G13&lt;60),"100",IF(AND(G13&gt;=60,G13&lt;100),"80",IF(AND(G13&gt;=100,G13&lt;150),"50",0))))</f>
        <v>150</v>
      </c>
      <c r="H24" s="49" t="s">
        <v>560</v>
      </c>
      <c r="I24" s="303"/>
      <c r="J24" s="218"/>
      <c r="K24" s="271"/>
      <c r="L24" s="271"/>
      <c r="P24" s="27"/>
      <c r="W24" s="263"/>
      <c r="X24" s="27"/>
    </row>
    <row r="25" spans="2:24" ht="15" customHeight="1" x14ac:dyDescent="0.2">
      <c r="G25" s="224">
        <f>(40/K11)*1000</f>
        <v>4.1599999999999993</v>
      </c>
      <c r="H25" s="49" t="s">
        <v>354</v>
      </c>
      <c r="I25" s="208"/>
      <c r="J25" s="218"/>
      <c r="K25" s="306"/>
      <c r="L25" s="27"/>
      <c r="W25" s="27"/>
      <c r="X25" s="263"/>
    </row>
    <row r="26" spans="2:24" ht="15" customHeight="1" x14ac:dyDescent="0.2">
      <c r="G26" s="289"/>
      <c r="H26" s="49"/>
      <c r="I26" s="297"/>
      <c r="J26" s="310"/>
    </row>
    <row r="27" spans="2:24" ht="15" customHeight="1" x14ac:dyDescent="0.2">
      <c r="D27" s="60" t="s">
        <v>342</v>
      </c>
      <c r="G27" s="224">
        <v>5</v>
      </c>
      <c r="H27" s="256" t="s">
        <v>372</v>
      </c>
      <c r="I27" s="222" t="str">
        <f>I23</f>
        <v>20-00-15</v>
      </c>
      <c r="J27" s="307" t="s">
        <v>151</v>
      </c>
    </row>
    <row r="28" spans="2:24" ht="15" customHeight="1" x14ac:dyDescent="0.2">
      <c r="G28" s="224">
        <v>10</v>
      </c>
      <c r="H28" s="256" t="s">
        <v>372</v>
      </c>
      <c r="I28" s="222" t="str">
        <f>I23</f>
        <v>20-00-15</v>
      </c>
      <c r="J28" s="307" t="s">
        <v>971</v>
      </c>
    </row>
    <row r="29" spans="2:24" ht="15" customHeight="1" x14ac:dyDescent="0.2"/>
    <row r="30" spans="2:24" ht="15" customHeight="1" x14ac:dyDescent="0.2">
      <c r="B30" s="169"/>
    </row>
    <row r="31" spans="2:24" ht="15" customHeight="1" x14ac:dyDescent="0.2"/>
    <row r="32" spans="2:24" ht="15" customHeight="1" x14ac:dyDescent="0.2"/>
    <row r="33" spans="2:7" ht="15" customHeight="1" x14ac:dyDescent="0.2"/>
    <row r="34" spans="2:7" ht="15" customHeight="1" x14ac:dyDescent="0.2"/>
    <row r="35" spans="2:7" s="60" customFormat="1" ht="15" customHeight="1" x14ac:dyDescent="0.2">
      <c r="B35" s="267"/>
      <c r="C35" s="226" t="s">
        <v>891</v>
      </c>
      <c r="D35" s="771">
        <f ca="1">TODAY()</f>
        <v>45064</v>
      </c>
      <c r="E35" s="772"/>
      <c r="F35" s="60" t="s">
        <v>373</v>
      </c>
    </row>
    <row r="36" spans="2:7" s="60" customFormat="1" ht="15" customHeight="1" x14ac:dyDescent="0.2"/>
    <row r="37" spans="2:7" s="60" customFormat="1" ht="15" hidden="1" customHeight="1" x14ac:dyDescent="0.2">
      <c r="B37" s="267"/>
    </row>
    <row r="38" spans="2:7" s="60" customFormat="1" ht="15" hidden="1" customHeight="1" x14ac:dyDescent="0.2">
      <c r="B38" s="267"/>
    </row>
    <row r="39" spans="2:7" s="60" customFormat="1" ht="15" hidden="1" customHeight="1" x14ac:dyDescent="0.2">
      <c r="B39" s="267"/>
    </row>
    <row r="40" spans="2:7" s="60" customFormat="1" ht="15" hidden="1" customHeight="1" x14ac:dyDescent="0.2">
      <c r="B40" s="267"/>
    </row>
    <row r="41" spans="2:7" s="60" customFormat="1" ht="15" hidden="1" customHeight="1" x14ac:dyDescent="0.2">
      <c r="B41" s="267"/>
    </row>
    <row r="42" spans="2:7" s="60" customFormat="1" ht="15" hidden="1" customHeight="1" x14ac:dyDescent="0.2">
      <c r="B42" s="267"/>
    </row>
    <row r="43" spans="2:7" s="60" customFormat="1" ht="15" hidden="1" customHeight="1" x14ac:dyDescent="0.2">
      <c r="B43" s="267"/>
      <c r="G43" s="266"/>
    </row>
    <row r="44" spans="2:7" ht="15" hidden="1" customHeight="1" x14ac:dyDescent="0.2">
      <c r="C44" s="267"/>
      <c r="D44" s="267"/>
      <c r="E44" s="60"/>
      <c r="F44" s="60"/>
    </row>
    <row r="45" spans="2:7" ht="15" hidden="1" customHeight="1" x14ac:dyDescent="0.2"/>
    <row r="46" spans="2:7" ht="15" hidden="1" customHeight="1" x14ac:dyDescent="0.2"/>
    <row r="47" spans="2:7" ht="15" hidden="1" customHeight="1" x14ac:dyDescent="0.2"/>
  </sheetData>
  <sheetProtection algorithmName="SHA-512" hashValue="utfOaRSnlcdaSKV5EZdVH8gq7ELq2Amrlbler+ICuzxYmyFgxmPgiD4AUxdkUpfAgZIJH/cJVK2vbAfZAZ8vjg==" saltValue="Nc6XwKYIy9lYf6i/a7vX2g==" spinCount="100000" sheet="1" objects="1" scenarios="1" selectLockedCells="1"/>
  <mergeCells count="3">
    <mergeCell ref="C6:N6"/>
    <mergeCell ref="E8:M8"/>
    <mergeCell ref="D35:E35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0">
    <pageSetUpPr fitToPage="1"/>
  </sheetPr>
  <dimension ref="A1:Z44"/>
  <sheetViews>
    <sheetView showGridLines="0" showRowColHeaders="0" zoomScaleNormal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1988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11" spans="1:16" ht="15" customHeight="1" x14ac:dyDescent="0.2">
      <c r="D11" s="60" t="s">
        <v>351</v>
      </c>
      <c r="G11" s="237">
        <v>0.9</v>
      </c>
      <c r="H11" s="297" t="s">
        <v>352</v>
      </c>
      <c r="I11" s="5">
        <v>0.3</v>
      </c>
      <c r="J11" s="266" t="s">
        <v>355</v>
      </c>
      <c r="K11" s="299">
        <f>10000/(G11*I11)</f>
        <v>37037.037037037036</v>
      </c>
      <c r="L11" s="266" t="s">
        <v>353</v>
      </c>
    </row>
    <row r="12" spans="1:16" ht="15" customHeight="1" x14ac:dyDescent="0.2">
      <c r="D12" s="60"/>
      <c r="G12" s="265"/>
      <c r="H12" s="271"/>
      <c r="I12" s="271"/>
    </row>
    <row r="13" spans="1:16" ht="15" customHeight="1" x14ac:dyDescent="0.2">
      <c r="D13" s="60" t="s">
        <v>338</v>
      </c>
      <c r="G13" s="237">
        <v>15</v>
      </c>
      <c r="H13" s="290" t="s">
        <v>1953</v>
      </c>
      <c r="I13" s="271"/>
    </row>
    <row r="14" spans="1:16" ht="15" customHeight="1" x14ac:dyDescent="0.2">
      <c r="D14" s="60"/>
      <c r="G14" s="237">
        <v>150</v>
      </c>
      <c r="H14" s="290" t="s">
        <v>1933</v>
      </c>
      <c r="I14" s="271"/>
    </row>
    <row r="15" spans="1:16" ht="15" customHeight="1" x14ac:dyDescent="0.2">
      <c r="D15" s="60"/>
      <c r="G15" s="237">
        <v>10</v>
      </c>
      <c r="H15" s="290" t="s">
        <v>1934</v>
      </c>
      <c r="I15" s="271"/>
    </row>
    <row r="16" spans="1:16" ht="15" customHeight="1" x14ac:dyDescent="0.2">
      <c r="D16" s="60"/>
      <c r="G16" s="237">
        <v>40</v>
      </c>
      <c r="H16" s="290" t="s">
        <v>1929</v>
      </c>
      <c r="I16" s="271"/>
    </row>
    <row r="17" spans="4:26" ht="15" customHeight="1" x14ac:dyDescent="0.2">
      <c r="D17" s="60"/>
      <c r="G17" s="265"/>
      <c r="H17" s="290"/>
      <c r="I17" s="271"/>
    </row>
    <row r="18" spans="4:26" ht="15" customHeight="1" x14ac:dyDescent="0.2">
      <c r="D18" s="60" t="s">
        <v>340</v>
      </c>
      <c r="G18" s="237">
        <v>90</v>
      </c>
      <c r="H18" s="290" t="s">
        <v>341</v>
      </c>
      <c r="I18" s="271"/>
      <c r="V18" s="26"/>
      <c r="W18" s="26"/>
      <c r="X18" s="26"/>
      <c r="Y18" s="26"/>
      <c r="Z18" s="26"/>
    </row>
    <row r="19" spans="4:26" ht="15" customHeight="1" x14ac:dyDescent="0.2">
      <c r="D19" s="265"/>
      <c r="V19" s="26"/>
      <c r="W19" s="26"/>
      <c r="X19" s="26"/>
      <c r="Y19" s="26"/>
      <c r="Z19" s="26"/>
    </row>
    <row r="20" spans="4:26" ht="15" customHeight="1" x14ac:dyDescent="0.25">
      <c r="D20" s="291" t="s">
        <v>371</v>
      </c>
      <c r="E20" s="291"/>
      <c r="F20" s="291"/>
      <c r="G20" s="291"/>
      <c r="H20" s="291"/>
      <c r="I20" s="27"/>
      <c r="V20" s="26"/>
      <c r="W20" s="26"/>
      <c r="X20" s="26"/>
      <c r="Y20" s="26"/>
      <c r="Z20" s="26"/>
    </row>
    <row r="21" spans="4:26" s="213" customFormat="1" ht="15" customHeight="1" x14ac:dyDescent="0.2">
      <c r="D21" s="298" t="s">
        <v>1708</v>
      </c>
      <c r="G21" s="286">
        <f>IF(W21&gt;0,W21,0)</f>
        <v>2.2222222222222223</v>
      </c>
      <c r="H21" s="300" t="s">
        <v>349</v>
      </c>
      <c r="I21" s="303"/>
      <c r="V21" s="26"/>
      <c r="W21" s="315">
        <f xml:space="preserve"> G15*(60-G16)/G18</f>
        <v>2.2222222222222223</v>
      </c>
      <c r="X21" s="26" t="s">
        <v>119</v>
      </c>
      <c r="Y21" s="26"/>
      <c r="Z21" s="26"/>
    </row>
    <row r="22" spans="4:26" ht="15" customHeight="1" x14ac:dyDescent="0.2">
      <c r="D22" s="60"/>
      <c r="G22" s="222"/>
      <c r="V22" s="26"/>
      <c r="W22" s="26"/>
      <c r="X22" s="26"/>
      <c r="Y22" s="26"/>
      <c r="Z22" s="26"/>
    </row>
    <row r="23" spans="4:26" ht="15" customHeight="1" x14ac:dyDescent="0.2">
      <c r="D23" s="298" t="s">
        <v>1696</v>
      </c>
      <c r="G23" s="224">
        <v>10</v>
      </c>
      <c r="H23" s="305" t="s">
        <v>558</v>
      </c>
      <c r="I23" s="222" t="str">
        <f>IF(G14&lt;80,"20-00-30",IF(AND(G14&gt;=80,G14&lt;150),"20-00-20",IF(AND(G14&gt;=150,G14&lt;200),"20-00-15",IF(AND(G14&gt;=200,G14&lt;280),"20-00-10","Sulf. Amônio"))))</f>
        <v>20-00-15</v>
      </c>
      <c r="J23" s="266" t="s">
        <v>1133</v>
      </c>
      <c r="V23" s="171"/>
      <c r="W23" s="26"/>
      <c r="X23" s="26"/>
      <c r="Y23" s="26"/>
      <c r="Z23" s="26"/>
    </row>
    <row r="24" spans="4:26" ht="15" customHeight="1" x14ac:dyDescent="0.2">
      <c r="D24" s="60"/>
      <c r="G24" s="224" t="str">
        <f>IF(G13&lt;20,"150",IF(AND(G13&gt;=20,G13&lt;60),"100",IF(AND(G13&gt;=60,G13&lt;100),"80",IF(AND(G13&gt;=100,G13&lt;150),"50",0))))</f>
        <v>150</v>
      </c>
      <c r="H24" s="49" t="s">
        <v>560</v>
      </c>
      <c r="I24" s="303"/>
      <c r="J24" s="218"/>
      <c r="K24" s="271"/>
      <c r="L24" s="271"/>
      <c r="M24" s="263"/>
    </row>
    <row r="25" spans="4:26" ht="15" customHeight="1" x14ac:dyDescent="0.2">
      <c r="D25" s="60"/>
      <c r="G25" s="224">
        <v>3</v>
      </c>
      <c r="H25" s="49" t="s">
        <v>354</v>
      </c>
      <c r="I25" s="208"/>
      <c r="J25" s="218"/>
      <c r="K25" s="306"/>
      <c r="L25" s="27"/>
      <c r="M25" s="27"/>
    </row>
    <row r="26" spans="4:26" ht="15" customHeight="1" x14ac:dyDescent="0.2">
      <c r="D26" s="60"/>
      <c r="G26" s="169"/>
      <c r="N26" s="263"/>
    </row>
    <row r="27" spans="4:26" ht="15" customHeight="1" x14ac:dyDescent="0.2">
      <c r="D27" s="60" t="s">
        <v>342</v>
      </c>
      <c r="G27" s="224">
        <v>5</v>
      </c>
      <c r="H27" s="265" t="s">
        <v>372</v>
      </c>
      <c r="I27" s="222" t="str">
        <f>I23</f>
        <v>20-00-15</v>
      </c>
      <c r="J27" s="308" t="s">
        <v>151</v>
      </c>
      <c r="N27" s="263"/>
    </row>
    <row r="28" spans="4:26" ht="15" customHeight="1" x14ac:dyDescent="0.2">
      <c r="D28" s="60"/>
      <c r="G28" s="224">
        <v>10</v>
      </c>
      <c r="H28" s="265" t="s">
        <v>372</v>
      </c>
      <c r="I28" s="222" t="str">
        <f>I23</f>
        <v>20-00-15</v>
      </c>
      <c r="J28" s="308" t="s">
        <v>971</v>
      </c>
    </row>
    <row r="30" spans="4:26" ht="15" customHeight="1" x14ac:dyDescent="0.2">
      <c r="D30" s="169"/>
    </row>
    <row r="34" spans="2:7" ht="15" customHeight="1" x14ac:dyDescent="0.2">
      <c r="D34" s="49"/>
    </row>
    <row r="35" spans="2:7" s="60" customFormat="1" ht="15" customHeight="1" x14ac:dyDescent="0.2">
      <c r="D35" s="267"/>
    </row>
    <row r="36" spans="2:7" s="60" customFormat="1" ht="15" customHeight="1" x14ac:dyDescent="0.2">
      <c r="D36" s="226" t="s">
        <v>891</v>
      </c>
      <c r="E36" s="771">
        <f ca="1">TODAY()</f>
        <v>45064</v>
      </c>
      <c r="F36" s="772"/>
      <c r="G36" s="60" t="s">
        <v>373</v>
      </c>
    </row>
    <row r="37" spans="2:7" s="60" customFormat="1" ht="15" customHeight="1" x14ac:dyDescent="0.2">
      <c r="D37" s="267"/>
    </row>
    <row r="38" spans="2:7" s="60" customFormat="1" ht="15" customHeight="1" x14ac:dyDescent="0.2">
      <c r="D38" s="267"/>
    </row>
    <row r="39" spans="2:7" s="60" customFormat="1" ht="15" customHeight="1" x14ac:dyDescent="0.2">
      <c r="B39" s="267"/>
    </row>
    <row r="40" spans="2:7" s="60" customFormat="1" ht="15" customHeight="1" x14ac:dyDescent="0.2">
      <c r="B40" s="267"/>
    </row>
    <row r="41" spans="2:7" s="60" customFormat="1" ht="15" customHeight="1" x14ac:dyDescent="0.2">
      <c r="B41" s="267"/>
    </row>
    <row r="42" spans="2:7" s="60" customFormat="1" ht="15" customHeight="1" x14ac:dyDescent="0.2">
      <c r="B42" s="267"/>
    </row>
    <row r="43" spans="2:7" s="60" customFormat="1" ht="15" customHeight="1" x14ac:dyDescent="0.2">
      <c r="B43" s="267"/>
      <c r="G43" s="266"/>
    </row>
    <row r="44" spans="2:7" ht="15" customHeight="1" x14ac:dyDescent="0.2">
      <c r="C44" s="267"/>
      <c r="D44" s="267"/>
      <c r="E44" s="60"/>
      <c r="F44" s="60"/>
    </row>
  </sheetData>
  <sheetProtection algorithmName="SHA-512" hashValue="fHY+9CAGmth6HUz+QPQvGQJDrPTziRUNeldHSz4i7QxNW5fQovuly4IdsDLcpFagoxOACGntbfQweuJHkERHsA==" saltValue="ndziTg1EaugCxl6qpf33Fg==" spinCount="100000" sheet="1" objects="1" scenarios="1" selectLockedCells="1"/>
  <mergeCells count="3">
    <mergeCell ref="C6:N6"/>
    <mergeCell ref="E8:M8"/>
    <mergeCell ref="E36:F3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4294967295" verticalDpi="360" r:id="rId1"/>
  <headerFooter alignWithMargins="0"/>
  <rowBreaks count="1" manualBreakCount="1">
    <brk id="40" max="9" man="1"/>
  </rowBreaks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1">
    <pageSetUpPr fitToPage="1"/>
  </sheetPr>
  <dimension ref="A1:P17"/>
  <sheetViews>
    <sheetView showGridLines="0" showRowColHeaders="0" zoomScaleNormal="100" zoomScaleSheetLayoutView="100" workbookViewId="0"/>
  </sheetViews>
  <sheetFormatPr defaultColWidth="0" defaultRowHeight="12.75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2018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A7" s="35"/>
      <c r="B7" s="45"/>
      <c r="C7" s="45"/>
      <c r="D7" s="45"/>
      <c r="E7" s="45"/>
      <c r="F7" s="45"/>
      <c r="G7" s="45"/>
      <c r="H7" s="48" t="s">
        <v>2066</v>
      </c>
      <c r="I7" s="35"/>
      <c r="J7" s="35"/>
    </row>
    <row r="8" spans="1:16" ht="24.95" customHeight="1" thickTop="1" thickBot="1" x14ac:dyDescent="0.25">
      <c r="A8" s="34"/>
      <c r="C8" s="34"/>
      <c r="D8" s="34"/>
      <c r="E8" s="34"/>
      <c r="F8" s="887" t="str">
        <f>HYPERLINK("#"&amp;"'Substrato'!h1","Substrato para a produção de mudas")</f>
        <v>Substrato para a produção de mudas</v>
      </c>
      <c r="G8" s="888"/>
      <c r="H8" s="888"/>
      <c r="I8" s="888"/>
      <c r="J8" s="889"/>
    </row>
    <row r="9" spans="1:16" ht="24.95" customHeight="1" thickTop="1" thickBot="1" x14ac:dyDescent="0.25">
      <c r="A9" s="34"/>
      <c r="F9" s="711" t="str">
        <f>HYPERLINK("#"&amp;"'PlantioForm'!h1","Plantio e formação")</f>
        <v>Plantio e formação</v>
      </c>
      <c r="G9" s="711"/>
      <c r="H9" s="711"/>
      <c r="I9" s="711"/>
      <c r="J9" s="711"/>
    </row>
    <row r="10" spans="1:16" s="34" customFormat="1" ht="24.95" customHeight="1" thickTop="1" thickBot="1" x14ac:dyDescent="0.25">
      <c r="F10" s="711" t="str">
        <f>HYPERLINK("#"&amp;"'PimentaReinoProd'!h1","Lavoura em produção")</f>
        <v>Lavoura em produção</v>
      </c>
      <c r="G10" s="711"/>
      <c r="H10" s="711"/>
      <c r="I10" s="711"/>
      <c r="J10" s="711"/>
    </row>
    <row r="11" spans="1:16" s="34" customFormat="1" ht="24.95" customHeight="1" thickTop="1" x14ac:dyDescent="0.2">
      <c r="H11" s="43"/>
    </row>
    <row r="12" spans="1:16" s="34" customFormat="1" ht="15" hidden="1" x14ac:dyDescent="0.2"/>
    <row r="13" spans="1:16" s="34" customFormat="1" ht="15" hidden="1" x14ac:dyDescent="0.2"/>
    <row r="14" spans="1:16" s="34" customFormat="1" ht="15" hidden="1" x14ac:dyDescent="0.2"/>
    <row r="15" spans="1:16" hidden="1" x14ac:dyDescent="0.2"/>
    <row r="16" spans="1:16" hidden="1" x14ac:dyDescent="0.2"/>
    <row r="17" hidden="1" x14ac:dyDescent="0.2"/>
  </sheetData>
  <sheetProtection algorithmName="SHA-512" hashValue="7Jzw9SFY0vwG1Vg/gZ+D8FeROhTDQbXYAltxDoaWnSE5lIdr1uBmCWn+0xG0/tJwVeVmr0zdn4MQoxlsVdh+WQ==" saltValue="Je0x7WPlyG5yRmH+qtdICA==" spinCount="100000" sheet="1" objects="1" scenarios="1"/>
  <mergeCells count="4">
    <mergeCell ref="C6:N6"/>
    <mergeCell ref="F8:J8"/>
    <mergeCell ref="F9:J9"/>
    <mergeCell ref="F10:J10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scale="88" orientation="portrait" cellComments="atEnd" horizontalDpi="360" verticalDpi="36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pageSetUpPr fitToPage="1"/>
  </sheetPr>
  <dimension ref="A1:X60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2.75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B6" s="27"/>
      <c r="C6" s="688" t="s">
        <v>1833</v>
      </c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7" spans="1:16" ht="15" customHeight="1" x14ac:dyDescent="0.25">
      <c r="B7" s="291"/>
      <c r="C7" s="716" t="s">
        <v>958</v>
      </c>
      <c r="D7" s="716"/>
      <c r="E7" s="716"/>
      <c r="F7" s="716"/>
      <c r="G7" s="716"/>
      <c r="H7" s="716"/>
      <c r="I7" s="716"/>
      <c r="J7" s="716"/>
      <c r="K7" s="716"/>
      <c r="L7" s="716"/>
      <c r="M7" s="716"/>
      <c r="N7" s="716"/>
      <c r="O7" s="60"/>
    </row>
    <row r="8" spans="1:16" ht="15" customHeight="1" x14ac:dyDescent="0.2"/>
    <row r="9" spans="1:16" ht="15" customHeight="1" x14ac:dyDescent="0.2">
      <c r="C9" s="60"/>
      <c r="D9" s="391" t="s">
        <v>1313</v>
      </c>
      <c r="E9" s="696"/>
      <c r="F9" s="696"/>
      <c r="G9" s="696"/>
      <c r="H9" s="696"/>
      <c r="I9" s="696"/>
      <c r="J9" s="696"/>
      <c r="K9" s="696"/>
      <c r="L9" s="696"/>
      <c r="M9" s="696"/>
    </row>
    <row r="10" spans="1:16" ht="15" customHeight="1" x14ac:dyDescent="0.2">
      <c r="C10" s="60"/>
      <c r="D10" s="391" t="s">
        <v>832</v>
      </c>
      <c r="E10" s="696"/>
      <c r="F10" s="696"/>
      <c r="G10" s="696"/>
      <c r="H10" s="696"/>
      <c r="I10" s="696"/>
      <c r="J10" s="696"/>
      <c r="K10" s="696"/>
      <c r="L10" s="696"/>
      <c r="M10" s="696"/>
    </row>
    <row r="11" spans="1:16" ht="15" customHeight="1" x14ac:dyDescent="0.2"/>
    <row r="12" spans="1:16" ht="15" customHeight="1" x14ac:dyDescent="0.2">
      <c r="D12" s="266" t="s">
        <v>1153</v>
      </c>
      <c r="F12" s="265" t="s">
        <v>1138</v>
      </c>
      <c r="G12" s="237">
        <v>50</v>
      </c>
      <c r="H12" s="49" t="s">
        <v>278</v>
      </c>
    </row>
    <row r="13" spans="1:16" ht="15" customHeight="1" x14ac:dyDescent="0.2">
      <c r="F13" s="265" t="s">
        <v>1125</v>
      </c>
      <c r="G13" s="237">
        <v>80</v>
      </c>
      <c r="H13" s="49" t="s">
        <v>278</v>
      </c>
    </row>
    <row r="14" spans="1:16" ht="15" customHeight="1" x14ac:dyDescent="0.2">
      <c r="F14" s="265" t="s">
        <v>1124</v>
      </c>
      <c r="G14" s="237">
        <v>1.3</v>
      </c>
      <c r="H14" s="49" t="s">
        <v>2282</v>
      </c>
    </row>
    <row r="15" spans="1:16" ht="15" customHeight="1" x14ac:dyDescent="0.2">
      <c r="F15" s="265" t="s">
        <v>1123</v>
      </c>
      <c r="G15" s="237">
        <v>0.9</v>
      </c>
      <c r="H15" s="49" t="s">
        <v>2282</v>
      </c>
    </row>
    <row r="16" spans="1:16" ht="15" customHeight="1" x14ac:dyDescent="0.2">
      <c r="F16" s="265" t="s">
        <v>718</v>
      </c>
      <c r="G16" s="237">
        <v>2</v>
      </c>
      <c r="H16" s="49" t="s">
        <v>1122</v>
      </c>
    </row>
    <row r="17" spans="4:24" ht="15" customHeight="1" x14ac:dyDescent="0.2">
      <c r="F17" s="265" t="s">
        <v>293</v>
      </c>
      <c r="G17" s="237">
        <v>8</v>
      </c>
      <c r="H17" s="49" t="s">
        <v>2282</v>
      </c>
    </row>
    <row r="18" spans="4:24" ht="15" customHeight="1" x14ac:dyDescent="0.2">
      <c r="F18" s="265" t="s">
        <v>296</v>
      </c>
      <c r="G18" s="237">
        <v>40</v>
      </c>
      <c r="H18" s="49" t="s">
        <v>341</v>
      </c>
    </row>
    <row r="19" spans="4:24" ht="15" customHeight="1" x14ac:dyDescent="0.2">
      <c r="F19" s="265"/>
      <c r="G19" s="263"/>
      <c r="H19" s="49"/>
    </row>
    <row r="20" spans="4:24" ht="15" customHeight="1" x14ac:dyDescent="0.2">
      <c r="D20" s="266" t="s">
        <v>1156</v>
      </c>
      <c r="G20" s="237">
        <v>90</v>
      </c>
      <c r="H20" s="49" t="s">
        <v>341</v>
      </c>
      <c r="V20" s="225" t="s">
        <v>290</v>
      </c>
      <c r="W20" s="265">
        <f>(2000000*(G16/100))*0.03*0.03</f>
        <v>36</v>
      </c>
      <c r="X20" s="266" t="s">
        <v>343</v>
      </c>
    </row>
    <row r="21" spans="4:24" ht="15" customHeight="1" x14ac:dyDescent="0.2">
      <c r="G21" s="265"/>
      <c r="V21" s="225"/>
      <c r="W21" s="265"/>
    </row>
    <row r="22" spans="4:24" ht="15" customHeight="1" x14ac:dyDescent="0.2">
      <c r="D22" s="49" t="s">
        <v>1828</v>
      </c>
      <c r="V22" s="316" t="s">
        <v>1834</v>
      </c>
      <c r="W22" s="310">
        <f>((((H30-W20))*100)/(0.6*G24))</f>
        <v>6000.0000000000009</v>
      </c>
      <c r="X22" s="266" t="s">
        <v>398</v>
      </c>
    </row>
    <row r="23" spans="4:24" ht="15" customHeight="1" x14ac:dyDescent="0.2">
      <c r="V23" s="225" t="s">
        <v>1157</v>
      </c>
      <c r="W23" s="310">
        <f>IF(W22&gt;=5000,W22,5000)</f>
        <v>6000.0000000000009</v>
      </c>
    </row>
    <row r="24" spans="4:24" ht="15" customHeight="1" x14ac:dyDescent="0.2">
      <c r="F24" s="265" t="s">
        <v>385</v>
      </c>
      <c r="G24" s="237">
        <v>1.5</v>
      </c>
      <c r="H24" s="49" t="s">
        <v>1122</v>
      </c>
      <c r="V24" s="316" t="s">
        <v>1834</v>
      </c>
      <c r="W24" s="310">
        <f>100*(W23/(100-G28))</f>
        <v>12000.000000000002</v>
      </c>
      <c r="X24" s="266" t="s">
        <v>399</v>
      </c>
    </row>
    <row r="25" spans="4:24" ht="15" customHeight="1" x14ac:dyDescent="0.2">
      <c r="F25" s="265" t="s">
        <v>1138</v>
      </c>
      <c r="G25" s="237">
        <v>0.9</v>
      </c>
      <c r="H25" s="49" t="s">
        <v>1122</v>
      </c>
      <c r="K25" s="706" t="str">
        <f>HYPERLINK("#"&amp;"'FertiOrg'!H1","TABELA - Fertilizantes Orgânicos")</f>
        <v>TABELA - Fertilizantes Orgânicos</v>
      </c>
      <c r="L25" s="706"/>
      <c r="M25" s="706"/>
      <c r="N25" s="706"/>
      <c r="V25" s="316" t="s">
        <v>1835</v>
      </c>
      <c r="W25" s="209">
        <f>(W24/F33)</f>
        <v>0.60000000000000009</v>
      </c>
      <c r="X25" s="266" t="s">
        <v>1035</v>
      </c>
    </row>
    <row r="26" spans="4:24" ht="15" customHeight="1" x14ac:dyDescent="0.2">
      <c r="F26" s="265" t="s">
        <v>1125</v>
      </c>
      <c r="G26" s="237">
        <v>1</v>
      </c>
      <c r="H26" s="49" t="s">
        <v>1122</v>
      </c>
    </row>
    <row r="27" spans="4:24" ht="15" customHeight="1" x14ac:dyDescent="0.2">
      <c r="F27" s="265"/>
      <c r="G27" s="263"/>
      <c r="H27" s="49"/>
    </row>
    <row r="28" spans="4:24" ht="15" customHeight="1" x14ac:dyDescent="0.2">
      <c r="E28" s="281" t="s">
        <v>401</v>
      </c>
      <c r="G28" s="237">
        <v>50</v>
      </c>
      <c r="H28" s="49" t="s">
        <v>341</v>
      </c>
    </row>
    <row r="29" spans="4:24" ht="15" customHeight="1" x14ac:dyDescent="0.2">
      <c r="U29" s="60" t="s">
        <v>291</v>
      </c>
    </row>
    <row r="30" spans="4:24" ht="15" customHeight="1" x14ac:dyDescent="0.2">
      <c r="D30" s="266" t="s">
        <v>1154</v>
      </c>
      <c r="H30" s="237">
        <v>90</v>
      </c>
      <c r="I30" s="49" t="s">
        <v>445</v>
      </c>
      <c r="K30" s="706" t="str">
        <f>HYPERLINK("#"&amp;"'ExigenciaN'!H1","TABELA - Exigência de Nitrogênio")</f>
        <v>TABELA - Exigência de Nitrogênio</v>
      </c>
      <c r="L30" s="706"/>
      <c r="M30" s="706"/>
      <c r="N30" s="706"/>
      <c r="V30" s="225" t="s">
        <v>678</v>
      </c>
      <c r="W30" s="310">
        <f>(((W23*G25)/100)*2.3)*0.5</f>
        <v>62.1</v>
      </c>
    </row>
    <row r="31" spans="4:24" ht="15" customHeight="1" x14ac:dyDescent="0.2">
      <c r="I31" s="49"/>
      <c r="V31" s="225" t="s">
        <v>757</v>
      </c>
      <c r="W31" s="310">
        <f>(((W22*G26)/100)*1.2)*0.7</f>
        <v>50.4</v>
      </c>
    </row>
    <row r="32" spans="4:24" ht="15" customHeight="1" x14ac:dyDescent="0.2">
      <c r="D32" s="46" t="s">
        <v>1155</v>
      </c>
      <c r="F32" s="237">
        <v>1</v>
      </c>
      <c r="G32" s="361" t="s">
        <v>352</v>
      </c>
      <c r="H32" s="237">
        <v>0.5</v>
      </c>
      <c r="I32" s="49" t="s">
        <v>337</v>
      </c>
      <c r="K32" s="706" t="str">
        <f>HYPERLINK("#"&amp;"'EspacamentoOrg'!H1","TABELA - Espaçamento Recomendado")</f>
        <v>TABELA - Espaçamento Recomendado</v>
      </c>
      <c r="L32" s="706"/>
      <c r="M32" s="706"/>
      <c r="N32" s="706"/>
    </row>
    <row r="33" spans="4:24" ht="15" customHeight="1" x14ac:dyDescent="0.25">
      <c r="D33" s="47"/>
      <c r="F33" s="483">
        <f>10000/(F32*H32)</f>
        <v>20000</v>
      </c>
      <c r="G33" s="266" t="s">
        <v>353</v>
      </c>
      <c r="H33" s="263"/>
      <c r="I33" s="49"/>
      <c r="J33" s="405"/>
    </row>
    <row r="34" spans="4:24" ht="15" customHeight="1" x14ac:dyDescent="0.25">
      <c r="D34" s="47"/>
      <c r="F34" s="483"/>
      <c r="H34" s="263"/>
      <c r="J34" s="405"/>
    </row>
    <row r="35" spans="4:24" ht="15" customHeight="1" x14ac:dyDescent="0.25">
      <c r="D35" s="164" t="s">
        <v>1036</v>
      </c>
      <c r="F35" s="263"/>
      <c r="G35" s="265"/>
      <c r="H35" s="263"/>
      <c r="J35" s="405"/>
    </row>
    <row r="36" spans="4:24" ht="15" customHeight="1" x14ac:dyDescent="0.25">
      <c r="E36" s="406" t="s">
        <v>573</v>
      </c>
      <c r="F36" s="286">
        <f>IF(W36&gt;0,W36,0)</f>
        <v>2.6666666666666665</v>
      </c>
      <c r="G36" s="266" t="s">
        <v>1147</v>
      </c>
      <c r="V36" s="225" t="s">
        <v>25</v>
      </c>
      <c r="W36" s="396">
        <f>G17*(70-G18)/G20</f>
        <v>2.6666666666666665</v>
      </c>
      <c r="X36" s="266" t="s">
        <v>349</v>
      </c>
    </row>
    <row r="37" spans="4:24" ht="15" customHeight="1" x14ac:dyDescent="0.2">
      <c r="W37" s="396"/>
    </row>
    <row r="38" spans="4:24" ht="15" customHeight="1" x14ac:dyDescent="0.25">
      <c r="E38" s="164" t="s">
        <v>1033</v>
      </c>
    </row>
    <row r="39" spans="4:24" ht="15" customHeight="1" x14ac:dyDescent="0.2">
      <c r="E39" s="220">
        <f>IF(W25&gt;=0,W25,0)</f>
        <v>0.60000000000000009</v>
      </c>
      <c r="F39" s="266" t="s">
        <v>1151</v>
      </c>
    </row>
    <row r="40" spans="4:24" ht="15" customHeight="1" x14ac:dyDescent="0.2">
      <c r="E40" s="224">
        <f>(W43/F33)*1000</f>
        <v>59.475000000000001</v>
      </c>
      <c r="F40" s="266" t="s">
        <v>400</v>
      </c>
      <c r="I40" s="257"/>
      <c r="Q40" s="310"/>
      <c r="V40" s="225" t="s">
        <v>1</v>
      </c>
      <c r="W40" s="265" t="str">
        <f>IF(G12&lt;50,"400",IF(AND(G12&gt;=50,G12&lt;100),"300",IF(AND(G12&gt;=100,G12&lt;200),"200",0)))</f>
        <v>300</v>
      </c>
      <c r="X40" s="266" t="s">
        <v>1010</v>
      </c>
    </row>
    <row r="41" spans="4:24" ht="15" customHeight="1" x14ac:dyDescent="0.2">
      <c r="E41" s="224"/>
      <c r="Q41" s="265"/>
      <c r="V41" s="225" t="s">
        <v>2</v>
      </c>
      <c r="W41" s="310">
        <f>W40-W30</f>
        <v>237.9</v>
      </c>
      <c r="X41" s="266" t="s">
        <v>6</v>
      </c>
    </row>
    <row r="42" spans="4:24" ht="15" customHeight="1" x14ac:dyDescent="0.2">
      <c r="E42" s="263"/>
      <c r="Q42" s="265"/>
      <c r="V42" s="225" t="s">
        <v>0</v>
      </c>
      <c r="W42" s="310">
        <f>(W41*5)</f>
        <v>1189.5</v>
      </c>
      <c r="X42" s="266" t="s">
        <v>7</v>
      </c>
    </row>
    <row r="43" spans="4:24" ht="15" customHeight="1" x14ac:dyDescent="0.25">
      <c r="D43" s="169"/>
      <c r="E43" s="164"/>
      <c r="Q43" s="265"/>
      <c r="V43" s="225" t="s">
        <v>3</v>
      </c>
      <c r="W43" s="310">
        <f>IF(W42&gt;0,W42,0)</f>
        <v>1189.5</v>
      </c>
      <c r="X43" s="266" t="s">
        <v>7</v>
      </c>
    </row>
    <row r="44" spans="4:24" ht="15" customHeight="1" x14ac:dyDescent="0.2"/>
    <row r="45" spans="4:24" ht="15" customHeight="1" x14ac:dyDescent="0.2"/>
    <row r="46" spans="4:24" ht="15" customHeight="1" x14ac:dyDescent="0.2"/>
    <row r="47" spans="4:24" ht="15" customHeight="1" x14ac:dyDescent="0.2"/>
    <row r="48" spans="4:24" ht="15" customHeight="1" x14ac:dyDescent="0.2"/>
    <row r="49" spans="4:12" ht="15" customHeight="1" x14ac:dyDescent="0.2"/>
    <row r="50" spans="4:12" ht="15" customHeight="1" x14ac:dyDescent="0.2"/>
    <row r="51" spans="4:12" ht="15" customHeight="1" x14ac:dyDescent="0.2"/>
    <row r="52" spans="4:12" ht="15" customHeight="1" x14ac:dyDescent="0.2"/>
    <row r="53" spans="4:12" ht="15" customHeight="1" x14ac:dyDescent="0.2">
      <c r="D53" s="265" t="s">
        <v>891</v>
      </c>
      <c r="E53" s="715"/>
      <c r="F53" s="715"/>
      <c r="G53" s="266" t="s">
        <v>1152</v>
      </c>
    </row>
    <row r="54" spans="4:12" ht="15" customHeight="1" x14ac:dyDescent="0.2">
      <c r="H54" s="60"/>
      <c r="I54" s="60"/>
      <c r="J54" s="60"/>
      <c r="K54" s="60"/>
      <c r="L54" s="60"/>
    </row>
    <row r="55" spans="4:12" ht="15" hidden="1" customHeight="1" x14ac:dyDescent="0.2">
      <c r="D55" s="265"/>
    </row>
    <row r="56" spans="4:12" ht="15" hidden="1" customHeight="1" x14ac:dyDescent="0.2"/>
    <row r="57" spans="4:12" ht="15" hidden="1" customHeight="1" x14ac:dyDescent="0.2"/>
    <row r="58" spans="4:12" ht="15" hidden="1" customHeight="1" x14ac:dyDescent="0.2"/>
    <row r="59" spans="4:12" ht="15" hidden="1" customHeight="1" x14ac:dyDescent="0.2"/>
    <row r="60" spans="4:12" ht="15" hidden="1" customHeight="1" x14ac:dyDescent="0.2"/>
  </sheetData>
  <sheetProtection algorithmName="SHA-512" hashValue="mC9H1NNYFnkfz2nYaxeCoOu2lm0o5fUGNhL1zsQyd4OASCfJLKwYHuFfS8hPU6WG93IC6DlM74C47IdiQNreCA==" saltValue="C8oMX8y0SUXfSG5rkRiVdw==" spinCount="100000" sheet="1" objects="1" scenarios="1"/>
  <mergeCells count="8">
    <mergeCell ref="C6:N6"/>
    <mergeCell ref="E9:M9"/>
    <mergeCell ref="E10:M10"/>
    <mergeCell ref="E53:F53"/>
    <mergeCell ref="K25:N25"/>
    <mergeCell ref="K30:N30"/>
    <mergeCell ref="K32:N32"/>
    <mergeCell ref="C7:N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2">
    <pageSetUpPr fitToPage="1"/>
  </sheetPr>
  <dimension ref="A1:AB44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2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8" ht="24.95" customHeight="1" x14ac:dyDescent="0.2">
      <c r="C6" s="699" t="s">
        <v>1986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8" ht="15" customHeight="1" x14ac:dyDescent="0.2"/>
    <row r="8" spans="1:28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8" ht="15" customHeight="1" x14ac:dyDescent="0.2"/>
    <row r="10" spans="1:28" s="358" customFormat="1" ht="15" customHeight="1" x14ac:dyDescent="0.25">
      <c r="B10" s="359"/>
      <c r="C10" s="359"/>
      <c r="D10" s="359"/>
      <c r="E10" s="359"/>
      <c r="F10" s="359"/>
    </row>
    <row r="11" spans="1:28" s="164" customFormat="1" ht="15" customHeight="1" x14ac:dyDescent="0.25">
      <c r="D11" s="298" t="s">
        <v>671</v>
      </c>
      <c r="G11" s="237">
        <v>2.5</v>
      </c>
      <c r="H11" s="170" t="s">
        <v>2063</v>
      </c>
      <c r="I11" s="237">
        <v>2</v>
      </c>
      <c r="J11" s="170" t="s">
        <v>2064</v>
      </c>
      <c r="K11" s="310">
        <f>10000/(G11*I11)</f>
        <v>2000</v>
      </c>
      <c r="L11" s="281" t="s">
        <v>353</v>
      </c>
      <c r="V11" s="311"/>
      <c r="W11" s="311"/>
      <c r="X11" s="311"/>
      <c r="Y11" s="311"/>
      <c r="Z11" s="311"/>
      <c r="AA11" s="311"/>
      <c r="AB11" s="311"/>
    </row>
    <row r="12" spans="1:28" ht="15" customHeight="1" x14ac:dyDescent="0.2">
      <c r="V12" s="27"/>
      <c r="W12" s="27"/>
      <c r="X12" s="27"/>
      <c r="Y12" s="27"/>
      <c r="Z12" s="27"/>
      <c r="AA12" s="27"/>
      <c r="AB12" s="27"/>
    </row>
    <row r="13" spans="1:28" ht="15" customHeight="1" x14ac:dyDescent="0.25">
      <c r="D13" s="47" t="s">
        <v>823</v>
      </c>
      <c r="V13" s="27"/>
      <c r="W13" s="27"/>
      <c r="X13" s="27"/>
      <c r="Y13" s="27"/>
      <c r="Z13" s="27"/>
      <c r="AA13" s="27"/>
      <c r="AB13" s="27"/>
    </row>
    <row r="14" spans="1:28" ht="15" customHeight="1" x14ac:dyDescent="0.2">
      <c r="D14" s="60" t="s">
        <v>338</v>
      </c>
      <c r="G14" s="237">
        <v>5</v>
      </c>
      <c r="H14" s="49" t="s">
        <v>1953</v>
      </c>
      <c r="I14" s="49"/>
      <c r="J14" s="49"/>
      <c r="K14" s="49"/>
      <c r="V14" s="27"/>
      <c r="W14" s="27"/>
      <c r="X14" s="27"/>
      <c r="Y14" s="27"/>
      <c r="Z14" s="27"/>
      <c r="AA14" s="27"/>
      <c r="AB14" s="27"/>
    </row>
    <row r="15" spans="1:28" ht="15" customHeight="1" x14ac:dyDescent="0.2">
      <c r="G15" s="237">
        <v>150</v>
      </c>
      <c r="H15" s="49" t="s">
        <v>1933</v>
      </c>
      <c r="I15" s="49"/>
      <c r="J15" s="49"/>
      <c r="K15" s="49"/>
      <c r="V15" s="27"/>
      <c r="W15" s="27"/>
      <c r="X15" s="27"/>
      <c r="Y15" s="27"/>
      <c r="Z15" s="27"/>
      <c r="AA15" s="27"/>
      <c r="AB15" s="27"/>
    </row>
    <row r="16" spans="1:28" ht="15" customHeight="1" x14ac:dyDescent="0.2">
      <c r="H16" s="49"/>
      <c r="I16" s="49"/>
      <c r="J16" s="49"/>
      <c r="K16" s="49"/>
      <c r="V16" s="27"/>
      <c r="W16" s="27"/>
      <c r="X16" s="27"/>
      <c r="Y16" s="27"/>
      <c r="Z16" s="27"/>
      <c r="AA16" s="27"/>
      <c r="AB16" s="27"/>
    </row>
    <row r="17" spans="3:28" ht="15" customHeight="1" x14ac:dyDescent="0.2">
      <c r="F17" s="225" t="s">
        <v>638</v>
      </c>
      <c r="G17" s="224">
        <f>(((X17*5)/K11)/3)*1000</f>
        <v>83.333333333333329</v>
      </c>
      <c r="H17" s="171" t="s">
        <v>558</v>
      </c>
      <c r="I17" s="169" t="s">
        <v>1140</v>
      </c>
      <c r="J17" s="49"/>
      <c r="K17" s="49"/>
      <c r="V17" s="27"/>
      <c r="W17" s="27"/>
      <c r="X17" s="279" t="str">
        <f>IF(G14&lt;10,"100",IF(AND(G14&gt;=10,G14&lt;20),"80",IF(AND(G14&gt;=20,G14&lt;50),"40",0)))</f>
        <v>100</v>
      </c>
      <c r="Y17" s="27" t="s">
        <v>651</v>
      </c>
      <c r="Z17" s="27"/>
      <c r="AA17" s="27"/>
      <c r="AB17" s="27"/>
    </row>
    <row r="18" spans="3:28" ht="15" customHeight="1" x14ac:dyDescent="0.2">
      <c r="F18" s="226" t="s">
        <v>1139</v>
      </c>
      <c r="G18" s="276">
        <f>1000*((X18*5)/K11)/3</f>
        <v>100</v>
      </c>
      <c r="H18" s="171" t="s">
        <v>558</v>
      </c>
      <c r="I18" s="277" t="str">
        <f>IF(G15&lt;60,"20-00-30",IF(AND(G15&gt;=60,G15&lt;120),"20-00-20",IF(AND(G15&gt;=120,G15&lt;200),"20-00-15",IF(AND(G15&gt;=200,G15&lt;280),"20-00-10","Sulfato de Amônio"))))</f>
        <v>20-00-15</v>
      </c>
      <c r="J18" s="49"/>
      <c r="K18" s="49"/>
      <c r="V18" s="27"/>
      <c r="W18" s="27"/>
      <c r="X18" s="208">
        <v>120</v>
      </c>
      <c r="Y18" s="27" t="s">
        <v>652</v>
      </c>
      <c r="Z18" s="27"/>
      <c r="AA18" s="27"/>
      <c r="AB18" s="27"/>
    </row>
    <row r="19" spans="3:28" s="281" customFormat="1" ht="15" customHeight="1" x14ac:dyDescent="0.2">
      <c r="C19" s="275"/>
      <c r="D19" s="224"/>
      <c r="E19" s="280"/>
      <c r="F19" s="266"/>
      <c r="G19" s="266"/>
      <c r="H19" s="49"/>
      <c r="I19" s="49"/>
      <c r="J19" s="170"/>
      <c r="K19" s="170"/>
      <c r="V19" s="283"/>
      <c r="W19" s="27"/>
      <c r="X19" s="27"/>
      <c r="Y19" s="27"/>
      <c r="Z19" s="283"/>
      <c r="AA19" s="283"/>
      <c r="AB19" s="283"/>
    </row>
    <row r="20" spans="3:28" s="281" customFormat="1" ht="15" customHeight="1" x14ac:dyDescent="0.25">
      <c r="D20" s="360" t="s">
        <v>573</v>
      </c>
      <c r="G20" s="283"/>
      <c r="H20" s="273"/>
      <c r="I20" s="273"/>
      <c r="J20" s="170"/>
      <c r="K20" s="170"/>
      <c r="V20" s="283"/>
      <c r="W20" s="283"/>
      <c r="X20" s="283"/>
      <c r="Y20" s="283"/>
      <c r="Z20" s="283"/>
      <c r="AA20" s="283"/>
      <c r="AB20" s="283"/>
    </row>
    <row r="21" spans="3:28" s="281" customFormat="1" ht="15" customHeight="1" x14ac:dyDescent="0.2">
      <c r="C21" s="275"/>
      <c r="G21" s="283"/>
      <c r="H21" s="273"/>
      <c r="I21" s="273"/>
      <c r="J21" s="170"/>
      <c r="K21" s="170"/>
      <c r="V21" s="283"/>
      <c r="W21" s="283"/>
      <c r="X21" s="220">
        <f xml:space="preserve"> G23*(60-G22)/G25</f>
        <v>3.5</v>
      </c>
      <c r="Y21" s="27" t="s">
        <v>349</v>
      </c>
      <c r="Z21" s="283"/>
      <c r="AA21" s="283"/>
      <c r="AB21" s="283"/>
    </row>
    <row r="22" spans="3:28" ht="15" customHeight="1" x14ac:dyDescent="0.2">
      <c r="D22" s="60" t="s">
        <v>338</v>
      </c>
      <c r="G22" s="237">
        <v>20</v>
      </c>
      <c r="H22" s="284" t="s">
        <v>1929</v>
      </c>
      <c r="I22" s="170"/>
      <c r="J22" s="273"/>
      <c r="K22" s="49"/>
      <c r="V22" s="27"/>
      <c r="W22" s="263"/>
      <c r="X22" s="289"/>
      <c r="Y22" s="27"/>
      <c r="Z22" s="27"/>
      <c r="AA22" s="27"/>
      <c r="AB22" s="27"/>
    </row>
    <row r="23" spans="3:28" ht="15" customHeight="1" x14ac:dyDescent="0.2">
      <c r="E23" s="281"/>
      <c r="G23" s="5">
        <v>7</v>
      </c>
      <c r="H23" s="284" t="s">
        <v>1934</v>
      </c>
      <c r="I23" s="170"/>
      <c r="J23" s="171"/>
      <c r="K23" s="49"/>
      <c r="V23" s="27"/>
      <c r="W23" s="272"/>
      <c r="X23" s="283"/>
      <c r="Y23" s="283"/>
      <c r="Z23" s="27"/>
      <c r="AA23" s="27"/>
      <c r="AB23" s="27"/>
    </row>
    <row r="24" spans="3:28" s="27" customFormat="1" ht="15" customHeight="1" x14ac:dyDescent="0.2">
      <c r="E24" s="283"/>
      <c r="G24" s="208"/>
      <c r="H24" s="273"/>
      <c r="I24" s="273"/>
      <c r="J24" s="171"/>
      <c r="K24" s="26"/>
      <c r="W24" s="272"/>
      <c r="X24" s="283"/>
      <c r="Y24" s="283"/>
    </row>
    <row r="25" spans="3:28" ht="15" customHeight="1" x14ac:dyDescent="0.2">
      <c r="D25" s="273" t="s">
        <v>340</v>
      </c>
      <c r="E25" s="281"/>
      <c r="G25" s="237">
        <v>80</v>
      </c>
      <c r="H25" s="49" t="s">
        <v>341</v>
      </c>
      <c r="I25" s="170"/>
      <c r="J25" s="273"/>
      <c r="K25" s="49"/>
      <c r="V25" s="27"/>
      <c r="W25" s="263"/>
      <c r="X25" s="283"/>
      <c r="Y25" s="283"/>
      <c r="Z25" s="27"/>
      <c r="AA25" s="27"/>
      <c r="AB25" s="27"/>
    </row>
    <row r="26" spans="3:28" ht="15" customHeight="1" x14ac:dyDescent="0.2">
      <c r="C26" s="281"/>
      <c r="D26" s="281"/>
      <c r="E26" s="281"/>
      <c r="F26" s="281"/>
      <c r="H26" s="49"/>
      <c r="I26" s="49"/>
      <c r="J26" s="49"/>
      <c r="K26" s="49"/>
      <c r="V26" s="27"/>
      <c r="W26" s="283"/>
      <c r="X26" s="283"/>
      <c r="Y26" s="283"/>
      <c r="Z26" s="27"/>
      <c r="AA26" s="27"/>
      <c r="AB26" s="27"/>
    </row>
    <row r="27" spans="3:28" ht="15" customHeight="1" x14ac:dyDescent="0.2">
      <c r="D27" s="292" t="s">
        <v>1708</v>
      </c>
      <c r="G27" s="220">
        <f>IF(X21&gt;0,X21,0)</f>
        <v>3.5</v>
      </c>
      <c r="H27" s="273" t="s">
        <v>2019</v>
      </c>
      <c r="I27" s="170"/>
      <c r="J27" s="170"/>
      <c r="K27" s="170"/>
      <c r="L27" s="281"/>
      <c r="V27" s="27"/>
      <c r="W27" s="27"/>
      <c r="X27" s="27"/>
      <c r="Y27" s="27"/>
      <c r="Z27" s="27"/>
      <c r="AA27" s="27"/>
      <c r="AB27" s="27"/>
    </row>
    <row r="28" spans="3:28" s="281" customFormat="1" ht="15" customHeight="1" x14ac:dyDescent="0.2">
      <c r="C28" s="275"/>
      <c r="D28" s="220"/>
      <c r="E28" s="280"/>
      <c r="V28" s="283"/>
      <c r="W28" s="283"/>
      <c r="X28" s="283"/>
      <c r="Y28" s="283"/>
      <c r="Z28" s="283"/>
      <c r="AA28" s="283"/>
      <c r="AB28" s="283"/>
    </row>
    <row r="29" spans="3:28" s="281" customFormat="1" ht="15" customHeight="1" x14ac:dyDescent="0.2">
      <c r="C29" s="169"/>
      <c r="D29" s="266"/>
      <c r="E29" s="266"/>
      <c r="F29" s="266"/>
      <c r="G29" s="272"/>
      <c r="H29" s="266"/>
      <c r="I29" s="266"/>
      <c r="J29" s="266"/>
      <c r="K29" s="266"/>
      <c r="L29" s="266"/>
      <c r="V29" s="283"/>
      <c r="W29" s="283"/>
      <c r="X29" s="283"/>
      <c r="Y29" s="283"/>
      <c r="Z29" s="283"/>
      <c r="AA29" s="283"/>
      <c r="AB29" s="283"/>
    </row>
    <row r="30" spans="3:28" s="281" customFormat="1" ht="15" customHeight="1" x14ac:dyDescent="0.2">
      <c r="C30" s="266"/>
      <c r="D30" s="213"/>
      <c r="E30" s="213"/>
      <c r="F30" s="213"/>
      <c r="G30" s="272"/>
      <c r="H30" s="213"/>
      <c r="I30" s="213"/>
      <c r="J30" s="213"/>
      <c r="K30" s="213"/>
      <c r="L30" s="213"/>
      <c r="V30" s="283"/>
      <c r="W30" s="283"/>
      <c r="X30" s="283"/>
      <c r="Y30" s="283"/>
      <c r="Z30" s="283"/>
      <c r="AA30" s="283"/>
      <c r="AB30" s="283"/>
    </row>
    <row r="31" spans="3:28" s="60" customFormat="1" ht="15" customHeight="1" x14ac:dyDescent="0.2">
      <c r="C31" s="275"/>
      <c r="D31" s="281"/>
      <c r="E31" s="281"/>
      <c r="F31" s="281"/>
      <c r="G31" s="281"/>
      <c r="H31" s="281"/>
      <c r="I31" s="281"/>
      <c r="J31" s="281"/>
      <c r="K31" s="281"/>
      <c r="L31" s="281"/>
      <c r="V31" s="296"/>
      <c r="W31" s="296"/>
      <c r="X31" s="296"/>
      <c r="Y31" s="296"/>
      <c r="Z31" s="296"/>
      <c r="AA31" s="296"/>
      <c r="AB31" s="296"/>
    </row>
    <row r="32" spans="3:28" s="60" customFormat="1" ht="15" customHeight="1" x14ac:dyDescent="0.2">
      <c r="C32" s="275"/>
      <c r="D32" s="281"/>
      <c r="E32" s="281"/>
      <c r="F32" s="281"/>
      <c r="G32" s="281"/>
      <c r="H32" s="281"/>
      <c r="I32" s="281"/>
      <c r="J32" s="281"/>
      <c r="K32" s="281"/>
      <c r="L32" s="281"/>
    </row>
    <row r="33" spans="3:12" s="60" customFormat="1" ht="15" customHeight="1" x14ac:dyDescent="0.2">
      <c r="C33" s="275"/>
      <c r="D33" s="281"/>
      <c r="E33" s="281"/>
      <c r="F33" s="281"/>
      <c r="G33" s="281"/>
      <c r="H33" s="281"/>
      <c r="I33" s="281"/>
      <c r="J33" s="281"/>
      <c r="K33" s="281"/>
      <c r="L33" s="281"/>
    </row>
    <row r="34" spans="3:12" s="60" customFormat="1" ht="15" customHeight="1" x14ac:dyDescent="0.2">
      <c r="C34" s="267"/>
      <c r="D34" s="267"/>
      <c r="E34" s="267"/>
      <c r="F34" s="267"/>
      <c r="G34" s="267"/>
      <c r="H34" s="267"/>
      <c r="I34" s="267"/>
      <c r="J34" s="267"/>
      <c r="K34" s="281"/>
      <c r="L34" s="281"/>
    </row>
    <row r="35" spans="3:12" s="60" customFormat="1" ht="15" customHeight="1" x14ac:dyDescent="0.2">
      <c r="C35" s="267"/>
    </row>
    <row r="36" spans="3:12" s="60" customFormat="1" ht="15" customHeight="1" x14ac:dyDescent="0.2">
      <c r="C36" s="267"/>
    </row>
    <row r="37" spans="3:12" s="60" customFormat="1" ht="15" customHeight="1" x14ac:dyDescent="0.2">
      <c r="C37" s="294"/>
      <c r="D37" s="226" t="s">
        <v>891</v>
      </c>
      <c r="E37" s="771">
        <f ca="1">TODAY()</f>
        <v>45064</v>
      </c>
      <c r="F37" s="772"/>
      <c r="G37" s="60" t="s">
        <v>373</v>
      </c>
    </row>
    <row r="38" spans="3:12" s="60" customFormat="1" ht="15" customHeight="1" x14ac:dyDescent="0.2">
      <c r="C38" s="300"/>
      <c r="D38" s="300"/>
      <c r="E38" s="300"/>
      <c r="F38" s="300"/>
    </row>
    <row r="39" spans="3:12" s="60" customFormat="1" ht="15" hidden="1" customHeight="1" x14ac:dyDescent="0.2"/>
    <row r="40" spans="3:12" s="60" customFormat="1" ht="15" hidden="1" customHeight="1" x14ac:dyDescent="0.2">
      <c r="C40" s="267"/>
    </row>
    <row r="41" spans="3:12" s="60" customFormat="1" ht="15" hidden="1" customHeight="1" x14ac:dyDescent="0.2">
      <c r="C41" s="267"/>
    </row>
    <row r="42" spans="3:12" s="60" customFormat="1" ht="15" hidden="1" customHeight="1" x14ac:dyDescent="0.2">
      <c r="C42" s="267"/>
    </row>
    <row r="43" spans="3:12" s="60" customFormat="1" ht="15" hidden="1" customHeight="1" x14ac:dyDescent="0.2">
      <c r="C43" s="267"/>
    </row>
    <row r="44" spans="3:12" s="60" customFormat="1" ht="15" hidden="1" customHeight="1" x14ac:dyDescent="0.2">
      <c r="C44" s="267"/>
      <c r="H44" s="266"/>
    </row>
  </sheetData>
  <sheetProtection algorithmName="SHA-512" hashValue="U1tfucwSpapjHbtjc7XXRD7LnYHLIZtDcdlOHBMEUhpOu81ifaPHop2+ExosCkqD6k/CNmPInwcm4ufmmaBLJQ==" saltValue="HZwPFyFDOd8UHSs6dhVR+Q==" spinCount="100000" sheet="1" objects="1" scenarios="1" selectLockedCells="1"/>
  <mergeCells count="3">
    <mergeCell ref="C6:N6"/>
    <mergeCell ref="E8:M8"/>
    <mergeCell ref="E37:F3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1">
    <pageSetUpPr fitToPage="1"/>
  </sheetPr>
  <dimension ref="A1:Q40"/>
  <sheetViews>
    <sheetView showGridLines="0" showRowColHeaders="0" zoomScaleNormal="100" workbookViewId="0"/>
  </sheetViews>
  <sheetFormatPr defaultColWidth="0" defaultRowHeight="15" customHeight="1" zeroHeight="1" x14ac:dyDescent="0.2"/>
  <cols>
    <col min="1" max="16" width="9.140625" style="28" customWidth="1"/>
    <col min="17" max="16384" width="9.140625" style="28" hidden="1"/>
  </cols>
  <sheetData>
    <row r="1" spans="1:1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24.95" customHeight="1" x14ac:dyDescent="0.2">
      <c r="C6" s="699" t="s">
        <v>2020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7" ht="15" customHeight="1" thickBot="1" x14ac:dyDescent="0.25">
      <c r="H7" s="48" t="s">
        <v>2066</v>
      </c>
    </row>
    <row r="8" spans="1:17" ht="24.95" customHeight="1" thickTop="1" thickBot="1" x14ac:dyDescent="0.25">
      <c r="A8" s="34"/>
      <c r="C8" s="34"/>
      <c r="D8" s="34"/>
      <c r="E8" s="34"/>
      <c r="F8" s="887" t="str">
        <f>HYPERLINK("#"&amp;"'Substrato'!h1","Substrato para a produção de mudas")</f>
        <v>Substrato para a produção de mudas</v>
      </c>
      <c r="G8" s="888"/>
      <c r="H8" s="888"/>
      <c r="I8" s="888"/>
      <c r="J8" s="889"/>
    </row>
    <row r="9" spans="1:17" s="34" customFormat="1" ht="24.95" customHeight="1" thickTop="1" thickBot="1" x14ac:dyDescent="0.25">
      <c r="F9" s="887" t="str">
        <f>HYPERLINK("#"&amp;"'PupunhaPlan'!h1","Plantio")</f>
        <v>Plantio</v>
      </c>
      <c r="G9" s="888"/>
      <c r="H9" s="888"/>
      <c r="I9" s="888"/>
      <c r="J9" s="889"/>
    </row>
    <row r="10" spans="1:17" s="34" customFormat="1" ht="24.95" customHeight="1" thickTop="1" thickBot="1" x14ac:dyDescent="0.25">
      <c r="F10" s="887" t="str">
        <f>HYPERLINK("#"&amp;"'PupunhaProd'!h1","Produção")</f>
        <v>Produção</v>
      </c>
      <c r="G10" s="888"/>
      <c r="H10" s="888"/>
      <c r="I10" s="888"/>
      <c r="J10" s="889"/>
    </row>
    <row r="11" spans="1:17" s="34" customFormat="1" ht="15" customHeight="1" thickTop="1" x14ac:dyDescent="0.2"/>
    <row r="12" spans="1:17" ht="15" customHeight="1" x14ac:dyDescent="0.2">
      <c r="B12" s="46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ht="15" customHeight="1" x14ac:dyDescent="0.25">
      <c r="B13" s="47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15" customHeight="1" x14ac:dyDescent="0.2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ht="15" customHeight="1" x14ac:dyDescent="0.2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ht="15" customHeight="1" x14ac:dyDescent="0.2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2:17" ht="15" customHeight="1" x14ac:dyDescent="0.2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2:17" ht="15" customHeight="1" x14ac:dyDescent="0.2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2:17" ht="15" customHeight="1" x14ac:dyDescent="0.2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2:17" ht="15" customHeight="1" x14ac:dyDescent="0.2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2:17" ht="15" customHeight="1" x14ac:dyDescent="0.25">
      <c r="B21" s="47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2:17" ht="15" customHeight="1" x14ac:dyDescent="0.2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2:17" ht="15" customHeight="1" x14ac:dyDescent="0.2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2:17" ht="15" customHeight="1" x14ac:dyDescent="0.2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2:17" ht="15" customHeight="1" x14ac:dyDescent="0.2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2:17" ht="15" customHeight="1" x14ac:dyDescent="0.2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2:17" ht="15" customHeight="1" x14ac:dyDescent="0.2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2:17" ht="15" customHeight="1" x14ac:dyDescent="0.2">
      <c r="F28" s="34"/>
      <c r="G28" s="34"/>
      <c r="H28" s="34"/>
    </row>
    <row r="29" spans="2:17" ht="15" customHeight="1" x14ac:dyDescent="0.2">
      <c r="F29" s="34"/>
      <c r="G29" s="34"/>
      <c r="H29" s="34"/>
    </row>
    <row r="30" spans="2:17" ht="15" customHeight="1" x14ac:dyDescent="0.2">
      <c r="F30" s="34"/>
      <c r="G30" s="34"/>
      <c r="H30" s="34"/>
    </row>
    <row r="31" spans="2:17" ht="15" customHeight="1" x14ac:dyDescent="0.2">
      <c r="F31" s="34"/>
      <c r="G31" s="34"/>
      <c r="H31" s="34"/>
    </row>
    <row r="32" spans="2:17" ht="15" customHeight="1" x14ac:dyDescent="0.2">
      <c r="F32" s="34"/>
      <c r="G32" s="34"/>
      <c r="H32" s="34"/>
    </row>
    <row r="33" ht="15" customHeight="1" x14ac:dyDescent="0.2"/>
    <row r="34" ht="15" hidden="1" customHeight="1" x14ac:dyDescent="0.2"/>
    <row r="35" ht="15" hidden="1" customHeight="1" x14ac:dyDescent="0.2"/>
    <row r="36" ht="15" hidden="1" customHeight="1" x14ac:dyDescent="0.2"/>
    <row r="37" ht="15" hidden="1" customHeight="1" x14ac:dyDescent="0.2"/>
    <row r="38" ht="15" hidden="1" customHeight="1" x14ac:dyDescent="0.2"/>
    <row r="39" ht="15" hidden="1" customHeight="1" x14ac:dyDescent="0.2"/>
    <row r="40" ht="15" hidden="1" customHeight="1" x14ac:dyDescent="0.2"/>
  </sheetData>
  <sheetProtection algorithmName="SHA-512" hashValue="iaxGdwncuY7CYog7x7xHCQPr+qqJTl9w13s8tnF3LaHMCW2RCTxvkapDVc7Jhk9bCaCbJGPyKfAnozRmZlMG9Q==" saltValue="LKcpMOqFfBlStMVMKWNOkg==" spinCount="100000" sheet="1" objects="1" scenarios="1"/>
  <mergeCells count="4">
    <mergeCell ref="C6:N6"/>
    <mergeCell ref="F10:J10"/>
    <mergeCell ref="F8:J8"/>
    <mergeCell ref="F9:J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2">
    <pageSetUpPr fitToPage="1"/>
  </sheetPr>
  <dimension ref="A1:AB70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1984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>
      <c r="C9" s="60"/>
      <c r="D9" s="60"/>
      <c r="E9" s="60"/>
      <c r="F9" s="60"/>
      <c r="G9" s="60"/>
      <c r="H9" s="60"/>
    </row>
    <row r="10" spans="1:16" ht="15" customHeight="1" x14ac:dyDescent="0.2"/>
    <row r="11" spans="1:16" ht="15" customHeight="1" x14ac:dyDescent="0.2">
      <c r="D11" s="169" t="s">
        <v>1985</v>
      </c>
    </row>
    <row r="12" spans="1:16" ht="15" customHeight="1" x14ac:dyDescent="0.2">
      <c r="E12" s="266" t="s">
        <v>2028</v>
      </c>
    </row>
    <row r="13" spans="1:16" ht="15" customHeight="1" x14ac:dyDescent="0.2">
      <c r="E13" s="266" t="s">
        <v>1009</v>
      </c>
    </row>
    <row r="14" spans="1:16" ht="15" customHeight="1" x14ac:dyDescent="0.2">
      <c r="E14" s="266" t="s">
        <v>2029</v>
      </c>
    </row>
    <row r="15" spans="1:16" ht="15" customHeight="1" x14ac:dyDescent="0.2">
      <c r="E15" s="266" t="s">
        <v>2030</v>
      </c>
    </row>
    <row r="16" spans="1:16" ht="15" customHeight="1" x14ac:dyDescent="0.2"/>
    <row r="17" spans="4:28" ht="15" customHeight="1" x14ac:dyDescent="0.2">
      <c r="E17" s="266" t="s">
        <v>2027</v>
      </c>
    </row>
    <row r="18" spans="4:28" ht="15" customHeight="1" x14ac:dyDescent="0.2"/>
    <row r="19" spans="4:28" ht="15" customHeight="1" x14ac:dyDescent="0.2">
      <c r="D19" s="169" t="s">
        <v>669</v>
      </c>
    </row>
    <row r="20" spans="4:28" ht="15" customHeight="1" x14ac:dyDescent="0.2">
      <c r="E20" s="266" t="s">
        <v>2024</v>
      </c>
    </row>
    <row r="21" spans="4:28" ht="15" customHeight="1" x14ac:dyDescent="0.2">
      <c r="E21" s="266" t="s">
        <v>2025</v>
      </c>
    </row>
    <row r="22" spans="4:28" ht="15" customHeight="1" x14ac:dyDescent="0.2">
      <c r="E22" s="266" t="s">
        <v>2026</v>
      </c>
      <c r="Z22" s="26"/>
      <c r="AA22" s="26"/>
      <c r="AB22" s="26"/>
    </row>
    <row r="23" spans="4:28" ht="15" customHeight="1" x14ac:dyDescent="0.2">
      <c r="D23" s="277"/>
      <c r="E23" s="275"/>
      <c r="F23" s="224"/>
      <c r="G23" s="280"/>
      <c r="H23" s="27"/>
      <c r="Z23" s="26"/>
      <c r="AA23" s="26"/>
      <c r="AB23" s="26"/>
    </row>
    <row r="24" spans="4:28" s="281" customFormat="1" ht="15" customHeight="1" x14ac:dyDescent="0.2">
      <c r="D24" s="277" t="s">
        <v>1871</v>
      </c>
      <c r="E24" s="283"/>
      <c r="F24" s="283"/>
      <c r="G24" s="283"/>
      <c r="H24" s="283"/>
      <c r="Z24" s="273"/>
      <c r="AA24" s="273"/>
      <c r="AB24" s="273"/>
    </row>
    <row r="25" spans="4:28" ht="15" customHeight="1" x14ac:dyDescent="0.2">
      <c r="D25" s="60" t="s">
        <v>338</v>
      </c>
      <c r="G25" s="237">
        <v>20</v>
      </c>
      <c r="H25" s="283" t="s">
        <v>117</v>
      </c>
      <c r="I25" s="283"/>
      <c r="J25" s="283"/>
      <c r="K25" s="263"/>
      <c r="L25" s="283"/>
      <c r="M25" s="283"/>
      <c r="Z25" s="315">
        <f xml:space="preserve"> G26*(60-G25)/G28</f>
        <v>3.5</v>
      </c>
      <c r="AA25" s="26" t="s">
        <v>349</v>
      </c>
      <c r="AB25" s="26"/>
    </row>
    <row r="26" spans="4:28" ht="15" customHeight="1" x14ac:dyDescent="0.2">
      <c r="F26" s="281"/>
      <c r="G26" s="5">
        <v>7</v>
      </c>
      <c r="H26" s="273" t="s">
        <v>116</v>
      </c>
      <c r="I26" s="272"/>
      <c r="J26" s="272"/>
      <c r="K26" s="272"/>
      <c r="L26" s="283"/>
      <c r="M26" s="283"/>
      <c r="Z26" s="315">
        <f>((Z25*G30)/100)*G31/20</f>
        <v>1.4</v>
      </c>
      <c r="AA26" s="26" t="s">
        <v>1146</v>
      </c>
      <c r="AB26" s="26"/>
    </row>
    <row r="27" spans="4:28" ht="15" customHeight="1" x14ac:dyDescent="0.2">
      <c r="J27" s="283"/>
      <c r="K27" s="263"/>
      <c r="L27" s="283"/>
      <c r="M27" s="283"/>
      <c r="Z27" s="26"/>
      <c r="AA27" s="26"/>
      <c r="AB27" s="26"/>
    </row>
    <row r="28" spans="4:28" ht="15" customHeight="1" x14ac:dyDescent="0.2">
      <c r="D28" s="283" t="s">
        <v>565</v>
      </c>
      <c r="F28" s="281"/>
      <c r="G28" s="237">
        <v>80</v>
      </c>
      <c r="H28" s="266" t="s">
        <v>341</v>
      </c>
      <c r="J28" s="283"/>
      <c r="K28" s="263"/>
      <c r="L28" s="283"/>
      <c r="M28" s="283"/>
      <c r="Z28" s="26"/>
      <c r="AA28" s="26"/>
      <c r="AB28" s="26"/>
    </row>
    <row r="29" spans="4:28" ht="15" customHeight="1" x14ac:dyDescent="0.2">
      <c r="D29" s="283"/>
      <c r="F29" s="281"/>
      <c r="G29" s="263"/>
      <c r="J29" s="283"/>
      <c r="K29" s="263"/>
      <c r="L29" s="283"/>
      <c r="M29" s="283"/>
      <c r="Z29" s="26"/>
      <c r="AA29" s="26"/>
      <c r="AB29" s="26"/>
    </row>
    <row r="30" spans="4:28" ht="15" customHeight="1" x14ac:dyDescent="0.2">
      <c r="D30" s="283" t="s">
        <v>2022</v>
      </c>
      <c r="F30" s="281"/>
      <c r="G30" s="237">
        <v>80</v>
      </c>
      <c r="H30" s="27" t="s">
        <v>2023</v>
      </c>
      <c r="J30" s="283"/>
      <c r="K30" s="263"/>
      <c r="L30" s="283"/>
      <c r="M30" s="283"/>
      <c r="Z30" s="26"/>
      <c r="AA30" s="26"/>
      <c r="AB30" s="26"/>
    </row>
    <row r="31" spans="4:28" ht="15" customHeight="1" x14ac:dyDescent="0.2">
      <c r="D31" s="283" t="s">
        <v>2021</v>
      </c>
      <c r="F31" s="281"/>
      <c r="G31" s="237">
        <v>10</v>
      </c>
      <c r="H31" s="266" t="s">
        <v>495</v>
      </c>
      <c r="L31" s="283"/>
      <c r="M31" s="283"/>
      <c r="Z31" s="26"/>
      <c r="AA31" s="26"/>
      <c r="AB31" s="26"/>
    </row>
    <row r="32" spans="4:28" ht="15" customHeight="1" x14ac:dyDescent="0.2">
      <c r="H32" s="283"/>
      <c r="I32" s="283"/>
      <c r="J32" s="283"/>
      <c r="K32" s="263"/>
      <c r="Z32" s="26"/>
      <c r="AA32" s="26"/>
      <c r="AB32" s="26"/>
    </row>
    <row r="33" spans="4:28" ht="15" customHeight="1" x14ac:dyDescent="0.2">
      <c r="D33" s="281"/>
      <c r="F33" s="281"/>
      <c r="G33" s="281"/>
      <c r="H33" s="281"/>
      <c r="I33" s="281"/>
      <c r="J33" s="281"/>
      <c r="K33" s="281"/>
      <c r="Q33" s="283"/>
      <c r="AB33" s="26"/>
    </row>
    <row r="34" spans="4:28" ht="15" customHeight="1" x14ac:dyDescent="0.2">
      <c r="D34" s="292" t="s">
        <v>1708</v>
      </c>
      <c r="G34" s="286">
        <f>IF(Z34&gt;0,Z34,0)</f>
        <v>1.4</v>
      </c>
      <c r="H34" s="280" t="s">
        <v>1019</v>
      </c>
      <c r="I34" s="281"/>
      <c r="J34" s="281"/>
      <c r="K34" s="281"/>
      <c r="L34" s="281"/>
      <c r="M34" s="281"/>
      <c r="Z34" s="315">
        <f>Z26</f>
        <v>1.4</v>
      </c>
      <c r="AA34" s="26" t="s">
        <v>119</v>
      </c>
      <c r="AB34" s="26"/>
    </row>
    <row r="35" spans="4:28" s="281" customFormat="1" ht="15" customHeight="1" x14ac:dyDescent="0.2">
      <c r="D35" s="275"/>
      <c r="E35" s="283"/>
      <c r="F35" s="220"/>
      <c r="G35" s="280"/>
      <c r="Z35" s="273"/>
      <c r="AA35" s="273"/>
      <c r="AB35" s="273"/>
    </row>
    <row r="36" spans="4:28" ht="15" customHeight="1" x14ac:dyDescent="0.2">
      <c r="D36" s="169"/>
      <c r="I36" s="272"/>
      <c r="Z36" s="26"/>
      <c r="AA36" s="26"/>
      <c r="AB36" s="26"/>
    </row>
    <row r="37" spans="4:28" s="281" customFormat="1" ht="15" customHeight="1" x14ac:dyDescent="0.2">
      <c r="D37" s="275"/>
      <c r="E37" s="275"/>
    </row>
    <row r="38" spans="4:28" s="281" customFormat="1" ht="15" customHeight="1" x14ac:dyDescent="0.2">
      <c r="D38" s="275"/>
      <c r="E38" s="275"/>
    </row>
    <row r="39" spans="4:28" s="281" customFormat="1" ht="15" customHeight="1" x14ac:dyDescent="0.2">
      <c r="D39" s="774"/>
      <c r="E39" s="774"/>
      <c r="F39" s="774"/>
      <c r="G39" s="774"/>
      <c r="H39" s="774"/>
      <c r="I39" s="774"/>
      <c r="J39" s="774"/>
      <c r="K39" s="774"/>
      <c r="L39" s="774"/>
    </row>
    <row r="40" spans="4:28" s="60" customFormat="1" ht="15" customHeight="1" x14ac:dyDescent="0.2">
      <c r="D40" s="267"/>
      <c r="E40" s="267"/>
    </row>
    <row r="41" spans="4:28" s="60" customFormat="1" ht="15" customHeight="1" x14ac:dyDescent="0.2">
      <c r="D41" s="267"/>
      <c r="E41" s="267"/>
    </row>
    <row r="42" spans="4:28" s="60" customFormat="1" ht="15" customHeight="1" x14ac:dyDescent="0.2">
      <c r="D42" s="226" t="s">
        <v>891</v>
      </c>
      <c r="E42" s="771">
        <f ca="1">TODAY()</f>
        <v>45064</v>
      </c>
      <c r="F42" s="772"/>
      <c r="G42" s="60" t="s">
        <v>373</v>
      </c>
    </row>
    <row r="43" spans="4:28" s="60" customFormat="1" ht="15" customHeight="1" x14ac:dyDescent="0.2">
      <c r="D43" s="267"/>
    </row>
    <row r="44" spans="4:28" s="60" customFormat="1" ht="15" hidden="1" customHeight="1" x14ac:dyDescent="0.2">
      <c r="D44" s="267"/>
    </row>
    <row r="45" spans="4:28" s="60" customFormat="1" ht="15" hidden="1" customHeight="1" x14ac:dyDescent="0.2">
      <c r="D45" s="267"/>
    </row>
    <row r="46" spans="4:28" s="60" customFormat="1" ht="15" hidden="1" customHeight="1" x14ac:dyDescent="0.2">
      <c r="D46" s="267"/>
    </row>
    <row r="47" spans="4:28" s="60" customFormat="1" ht="15" hidden="1" customHeight="1" x14ac:dyDescent="0.2">
      <c r="D47" s="267"/>
      <c r="I47" s="266"/>
    </row>
    <row r="48" spans="4:28" s="60" customFormat="1" ht="15" hidden="1" customHeight="1" x14ac:dyDescent="0.2">
      <c r="D48" s="267"/>
      <c r="E48" s="267"/>
    </row>
    <row r="49" spans="2:5" s="60" customFormat="1" ht="15" hidden="1" customHeight="1" x14ac:dyDescent="0.2">
      <c r="D49" s="267"/>
      <c r="E49" s="267"/>
    </row>
    <row r="50" spans="2:5" s="60" customFormat="1" ht="15" hidden="1" customHeight="1" x14ac:dyDescent="0.2">
      <c r="B50" s="267"/>
      <c r="C50" s="267"/>
    </row>
    <row r="51" spans="2:5" s="60" customFormat="1" ht="15" hidden="1" customHeight="1" x14ac:dyDescent="0.2">
      <c r="B51" s="267"/>
      <c r="C51" s="267"/>
    </row>
    <row r="52" spans="2:5" s="60" customFormat="1" ht="15" hidden="1" customHeight="1" x14ac:dyDescent="0.2">
      <c r="B52" s="267"/>
      <c r="C52" s="267"/>
    </row>
    <row r="53" spans="2:5" s="60" customFormat="1" ht="15" hidden="1" customHeight="1" x14ac:dyDescent="0.2">
      <c r="B53" s="267"/>
      <c r="C53" s="267"/>
    </row>
    <row r="54" spans="2:5" s="60" customFormat="1" ht="15" hidden="1" customHeight="1" x14ac:dyDescent="0.2">
      <c r="B54" s="267"/>
      <c r="C54" s="267"/>
    </row>
    <row r="55" spans="2:5" s="60" customFormat="1" ht="15" hidden="1" customHeight="1" x14ac:dyDescent="0.2">
      <c r="B55" s="267"/>
      <c r="C55" s="267"/>
    </row>
    <row r="56" spans="2:5" s="60" customFormat="1" ht="15" hidden="1" customHeight="1" x14ac:dyDescent="0.2">
      <c r="B56" s="267"/>
      <c r="C56" s="267"/>
    </row>
    <row r="57" spans="2:5" s="60" customFormat="1" ht="15" hidden="1" customHeight="1" x14ac:dyDescent="0.2">
      <c r="B57" s="267"/>
      <c r="C57" s="267"/>
    </row>
    <row r="58" spans="2:5" s="60" customFormat="1" ht="15" hidden="1" customHeight="1" x14ac:dyDescent="0.2">
      <c r="B58" s="267"/>
      <c r="C58" s="267"/>
    </row>
    <row r="59" spans="2:5" s="60" customFormat="1" ht="15" hidden="1" customHeight="1" x14ac:dyDescent="0.2">
      <c r="B59" s="267"/>
      <c r="C59" s="267"/>
    </row>
    <row r="60" spans="2:5" s="60" customFormat="1" ht="15" hidden="1" customHeight="1" x14ac:dyDescent="0.2">
      <c r="B60" s="267"/>
      <c r="C60" s="267"/>
    </row>
    <row r="61" spans="2:5" s="60" customFormat="1" ht="15" hidden="1" customHeight="1" x14ac:dyDescent="0.2">
      <c r="B61" s="267"/>
      <c r="C61" s="267"/>
    </row>
    <row r="62" spans="2:5" s="60" customFormat="1" ht="15" hidden="1" customHeight="1" x14ac:dyDescent="0.2">
      <c r="B62" s="267"/>
      <c r="C62" s="267"/>
    </row>
    <row r="63" spans="2:5" s="60" customFormat="1" ht="15" hidden="1" customHeight="1" x14ac:dyDescent="0.2">
      <c r="B63" s="267"/>
      <c r="C63" s="267"/>
    </row>
    <row r="64" spans="2:5" s="60" customFormat="1" ht="15" hidden="1" customHeight="1" x14ac:dyDescent="0.2">
      <c r="B64" s="267"/>
      <c r="C64" s="267"/>
    </row>
    <row r="65" spans="2:3" s="60" customFormat="1" ht="15" hidden="1" customHeight="1" x14ac:dyDescent="0.2">
      <c r="B65" s="267"/>
      <c r="C65" s="267"/>
    </row>
    <row r="66" spans="2:3" s="60" customFormat="1" ht="15" hidden="1" customHeight="1" x14ac:dyDescent="0.2">
      <c r="B66" s="267"/>
      <c r="C66" s="267"/>
    </row>
    <row r="67" spans="2:3" s="60" customFormat="1" ht="15" hidden="1" customHeight="1" x14ac:dyDescent="0.2">
      <c r="B67" s="267"/>
      <c r="C67" s="267"/>
    </row>
    <row r="68" spans="2:3" s="60" customFormat="1" ht="15" hidden="1" customHeight="1" x14ac:dyDescent="0.2">
      <c r="B68" s="267"/>
      <c r="C68" s="267"/>
    </row>
    <row r="69" spans="2:3" s="60" customFormat="1" ht="15" hidden="1" customHeight="1" x14ac:dyDescent="0.2">
      <c r="B69" s="267"/>
      <c r="C69" s="267"/>
    </row>
    <row r="70" spans="2:3" ht="15" hidden="1" customHeight="1" x14ac:dyDescent="0.2"/>
  </sheetData>
  <sheetProtection algorithmName="SHA-512" hashValue="S+QGvQ7/8FNsp1ibIQuTopk7sEEftFr2zqwtKBvEacoWOhf2LK5bZFlB0tEgyH2BiAVPQ7SK8psp4i2Qre3PPg==" saltValue="DNPtIuSfChv55RhR5FagCw==" spinCount="100000" sheet="1" objects="1" scenarios="1" selectLockedCells="1"/>
  <mergeCells count="4">
    <mergeCell ref="E42:F42"/>
    <mergeCell ref="D39:L39"/>
    <mergeCell ref="C6:N6"/>
    <mergeCell ref="E8:M8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orientation="portrait" cellComments="atEnd" horizontalDpi="360" verticalDpi="36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3">
    <pageSetUpPr fitToPage="1"/>
  </sheetPr>
  <dimension ref="A1:AB69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2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8" ht="24.95" customHeight="1" x14ac:dyDescent="0.2">
      <c r="C6" s="699" t="s">
        <v>1983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8" ht="15" customHeight="1" x14ac:dyDescent="0.2"/>
    <row r="8" spans="1:28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8" ht="15" customHeight="1" x14ac:dyDescent="0.2">
      <c r="C9" s="60"/>
      <c r="D9" s="60"/>
      <c r="E9" s="60"/>
      <c r="F9" s="60"/>
      <c r="G9" s="60"/>
      <c r="H9" s="60"/>
    </row>
    <row r="10" spans="1:28" ht="15" customHeight="1" x14ac:dyDescent="0.2"/>
    <row r="11" spans="1:28" ht="15" customHeight="1" x14ac:dyDescent="0.2">
      <c r="D11" s="60" t="s">
        <v>351</v>
      </c>
      <c r="G11" s="237">
        <v>2.2999999999999998</v>
      </c>
      <c r="H11" s="297" t="s">
        <v>352</v>
      </c>
      <c r="I11" s="5">
        <v>1.3</v>
      </c>
      <c r="J11" s="266" t="s">
        <v>355</v>
      </c>
      <c r="K11" s="218">
        <f>10000/(G11*I11)</f>
        <v>3344.4816053511709</v>
      </c>
      <c r="L11" s="266" t="s">
        <v>353</v>
      </c>
    </row>
    <row r="12" spans="1:28" ht="15" customHeight="1" x14ac:dyDescent="0.2"/>
    <row r="13" spans="1:28" ht="15" customHeight="1" x14ac:dyDescent="0.2">
      <c r="D13" s="60" t="s">
        <v>338</v>
      </c>
      <c r="E13" s="60"/>
      <c r="F13" s="225"/>
      <c r="G13" s="237">
        <v>4</v>
      </c>
      <c r="H13" s="49" t="s">
        <v>1873</v>
      </c>
    </row>
    <row r="14" spans="1:28" s="34" customFormat="1" ht="15" customHeight="1" x14ac:dyDescent="0.2">
      <c r="E14" s="60"/>
      <c r="F14" s="266"/>
      <c r="G14" s="237">
        <v>90</v>
      </c>
      <c r="H14" s="49" t="s">
        <v>1874</v>
      </c>
    </row>
    <row r="15" spans="1:28" ht="15" customHeight="1" x14ac:dyDescent="0.2">
      <c r="G15" s="237">
        <v>30</v>
      </c>
      <c r="H15" s="273" t="s">
        <v>1929</v>
      </c>
      <c r="I15" s="281"/>
      <c r="J15" s="283"/>
    </row>
    <row r="16" spans="1:28" s="60" customFormat="1" ht="15" customHeight="1" x14ac:dyDescent="0.2">
      <c r="G16" s="5">
        <v>7</v>
      </c>
      <c r="H16" s="273" t="s">
        <v>1934</v>
      </c>
      <c r="I16" s="281"/>
      <c r="J16" s="272"/>
      <c r="K16" s="266"/>
      <c r="L16" s="266"/>
      <c r="M16" s="266"/>
      <c r="N16" s="266"/>
      <c r="X16" s="292"/>
      <c r="Y16" s="292"/>
      <c r="Z16" s="292"/>
      <c r="AA16" s="292"/>
      <c r="AB16" s="292"/>
    </row>
    <row r="17" spans="4:28" s="60" customFormat="1" ht="15" customHeight="1" x14ac:dyDescent="0.2">
      <c r="I17" s="271"/>
      <c r="J17" s="266"/>
      <c r="X17" s="26"/>
      <c r="Y17" s="26"/>
      <c r="Z17" s="26"/>
      <c r="AA17" s="26"/>
      <c r="AB17" s="292"/>
    </row>
    <row r="18" spans="4:28" s="60" customFormat="1" ht="15" customHeight="1" x14ac:dyDescent="0.2">
      <c r="D18" s="273" t="s">
        <v>340</v>
      </c>
      <c r="E18" s="266"/>
      <c r="F18" s="281"/>
      <c r="G18" s="237">
        <v>90</v>
      </c>
      <c r="H18" s="49" t="s">
        <v>341</v>
      </c>
      <c r="I18" s="271"/>
      <c r="J18" s="266"/>
      <c r="X18" s="26"/>
      <c r="Y18" s="26"/>
      <c r="Z18" s="26"/>
      <c r="AA18" s="26"/>
      <c r="AB18" s="292"/>
    </row>
    <row r="19" spans="4:28" s="60" customFormat="1" ht="15" customHeight="1" x14ac:dyDescent="0.2">
      <c r="I19" s="271"/>
      <c r="J19" s="266"/>
      <c r="X19" s="26"/>
      <c r="Y19" s="26"/>
      <c r="Z19" s="26"/>
      <c r="AA19" s="26"/>
      <c r="AB19" s="292"/>
    </row>
    <row r="20" spans="4:28" s="60" customFormat="1" ht="15" customHeight="1" x14ac:dyDescent="0.25">
      <c r="D20" s="164" t="s">
        <v>1872</v>
      </c>
      <c r="E20" s="266"/>
      <c r="F20" s="266"/>
      <c r="G20" s="266"/>
      <c r="H20" s="49"/>
      <c r="I20" s="266"/>
      <c r="J20" s="266"/>
      <c r="X20" s="26"/>
      <c r="Y20" s="26"/>
      <c r="Z20" s="26"/>
      <c r="AA20" s="26"/>
      <c r="AB20" s="292"/>
    </row>
    <row r="21" spans="4:28" s="60" customFormat="1" ht="15" customHeight="1" x14ac:dyDescent="0.2">
      <c r="F21" s="225" t="s">
        <v>637</v>
      </c>
      <c r="G21" s="224">
        <f>1000*(Y21*5)/K11</f>
        <v>149.5</v>
      </c>
      <c r="H21" s="273" t="s">
        <v>372</v>
      </c>
      <c r="I21" s="169" t="s">
        <v>1140</v>
      </c>
      <c r="J21" s="169"/>
      <c r="X21" s="26"/>
      <c r="Y21" s="325" t="str">
        <f>IF(G13&lt;10,"100",IF(AND(G13&gt;=10,G13&lt;30),"50",0))</f>
        <v>100</v>
      </c>
      <c r="Z21" s="292" t="s">
        <v>344</v>
      </c>
      <c r="AA21" s="292"/>
      <c r="AB21" s="292"/>
    </row>
    <row r="22" spans="4:28" s="60" customFormat="1" ht="15" customHeight="1" x14ac:dyDescent="0.2">
      <c r="F22" s="226" t="s">
        <v>1139</v>
      </c>
      <c r="G22" s="276">
        <f>(1000*(Y22*5)/K11)/3</f>
        <v>129.56666666666666</v>
      </c>
      <c r="H22" s="273" t="s">
        <v>372</v>
      </c>
      <c r="I22" s="222" t="str">
        <f>IF(G14&lt;60,"20-00-30",IF(AND(G14&gt;=60,G14&lt;120),"20-00-20",IF(AND(G14&gt;=120,G14&lt;200),"20-00-15",IF(AND(G14&gt;=200,G14&lt;280),"20-00-10","Sulfato de Amônio"))))</f>
        <v>20-00-20</v>
      </c>
      <c r="J22" s="266"/>
      <c r="X22" s="26"/>
      <c r="Y22" s="171">
        <v>260</v>
      </c>
      <c r="Z22" s="292" t="s">
        <v>343</v>
      </c>
      <c r="AA22" s="292"/>
      <c r="AB22" s="292"/>
    </row>
    <row r="23" spans="4:28" s="60" customFormat="1" ht="15" customHeight="1" x14ac:dyDescent="0.2">
      <c r="D23" s="275"/>
      <c r="E23" s="276"/>
      <c r="F23" s="280"/>
      <c r="G23" s="277"/>
      <c r="H23" s="49"/>
      <c r="I23" s="266"/>
      <c r="J23" s="266"/>
      <c r="X23" s="26"/>
      <c r="Y23" s="171"/>
      <c r="Z23" s="26"/>
      <c r="AA23" s="26"/>
      <c r="AB23" s="292"/>
    </row>
    <row r="24" spans="4:28" s="313" customFormat="1" ht="15" customHeight="1" x14ac:dyDescent="0.25">
      <c r="D24" s="282" t="s">
        <v>1871</v>
      </c>
      <c r="E24" s="314"/>
      <c r="F24" s="314"/>
      <c r="G24" s="314"/>
      <c r="H24" s="273"/>
      <c r="X24" s="314"/>
      <c r="Y24" s="314"/>
      <c r="Z24" s="314"/>
      <c r="AA24" s="314"/>
      <c r="AB24" s="314"/>
    </row>
    <row r="25" spans="4:28" s="281" customFormat="1" ht="15" customHeight="1" x14ac:dyDescent="0.2">
      <c r="D25" s="292" t="s">
        <v>2032</v>
      </c>
      <c r="E25" s="283"/>
      <c r="F25" s="283"/>
      <c r="G25" s="286">
        <f>IF(Y25&gt;0,Y25,0)</f>
        <v>3.1111111111111112</v>
      </c>
      <c r="H25" s="273" t="s">
        <v>2031</v>
      </c>
      <c r="X25" s="273"/>
      <c r="Y25" s="315">
        <f xml:space="preserve"> G16*(70-G15)/G18</f>
        <v>3.1111111111111112</v>
      </c>
      <c r="Z25" s="26" t="s">
        <v>349</v>
      </c>
      <c r="AA25" s="273"/>
      <c r="AB25" s="273"/>
    </row>
    <row r="26" spans="4:28" s="281" customFormat="1" ht="15" customHeight="1" x14ac:dyDescent="0.2">
      <c r="D26" s="275"/>
      <c r="E26" s="283"/>
      <c r="F26" s="220"/>
      <c r="G26" s="280"/>
      <c r="X26" s="170"/>
      <c r="Y26" s="170"/>
      <c r="Z26" s="170"/>
      <c r="AA26" s="170"/>
      <c r="AB26" s="170"/>
    </row>
    <row r="27" spans="4:28" ht="15" customHeight="1" x14ac:dyDescent="0.2">
      <c r="D27" s="169"/>
      <c r="I27" s="272"/>
      <c r="X27" s="49"/>
      <c r="Y27" s="49"/>
      <c r="Z27" s="49"/>
      <c r="AA27" s="49"/>
      <c r="AB27" s="49"/>
    </row>
    <row r="28" spans="4:28" s="281" customFormat="1" ht="15" customHeight="1" x14ac:dyDescent="0.2">
      <c r="D28" s="275"/>
      <c r="E28" s="275"/>
      <c r="X28" s="170"/>
      <c r="Y28" s="170"/>
      <c r="Z28" s="170"/>
      <c r="AA28" s="170"/>
      <c r="AB28" s="170"/>
    </row>
    <row r="29" spans="4:28" s="281" customFormat="1" ht="15" customHeight="1" x14ac:dyDescent="0.2">
      <c r="D29" s="275"/>
      <c r="E29" s="275"/>
    </row>
    <row r="30" spans="4:28" s="281" customFormat="1" ht="15" customHeight="1" x14ac:dyDescent="0.2">
      <c r="D30" s="273"/>
      <c r="E30" s="275"/>
    </row>
    <row r="31" spans="4:28" s="281" customFormat="1" ht="15" customHeight="1" x14ac:dyDescent="0.2">
      <c r="D31" s="267"/>
      <c r="E31" s="267"/>
      <c r="F31" s="267"/>
      <c r="G31" s="267"/>
      <c r="H31" s="267"/>
      <c r="I31" s="267"/>
      <c r="J31" s="267"/>
      <c r="K31" s="267"/>
      <c r="L31" s="267"/>
    </row>
    <row r="32" spans="4:28" s="60" customFormat="1" ht="15" customHeight="1" x14ac:dyDescent="0.2">
      <c r="D32" s="267"/>
    </row>
    <row r="33" spans="2:8" s="60" customFormat="1" ht="15" customHeight="1" x14ac:dyDescent="0.2">
      <c r="D33" s="226" t="s">
        <v>891</v>
      </c>
      <c r="E33" s="771">
        <f ca="1">TODAY()</f>
        <v>45064</v>
      </c>
      <c r="F33" s="772"/>
      <c r="H33" s="60" t="s">
        <v>373</v>
      </c>
    </row>
    <row r="34" spans="2:8" s="60" customFormat="1" ht="15" customHeight="1" x14ac:dyDescent="0.2">
      <c r="D34" s="267"/>
    </row>
    <row r="35" spans="2:8" s="60" customFormat="1" ht="15" hidden="1" customHeight="1" x14ac:dyDescent="0.2">
      <c r="B35" s="267"/>
    </row>
    <row r="36" spans="2:8" s="60" customFormat="1" ht="15" hidden="1" customHeight="1" x14ac:dyDescent="0.2">
      <c r="B36" s="267"/>
    </row>
    <row r="37" spans="2:8" s="60" customFormat="1" ht="15" hidden="1" customHeight="1" x14ac:dyDescent="0.2">
      <c r="B37" s="267"/>
    </row>
    <row r="38" spans="2:8" s="60" customFormat="1" ht="15" hidden="1" customHeight="1" x14ac:dyDescent="0.2">
      <c r="B38" s="267"/>
    </row>
    <row r="39" spans="2:8" s="60" customFormat="1" ht="15" hidden="1" customHeight="1" x14ac:dyDescent="0.2">
      <c r="B39" s="267"/>
      <c r="G39" s="266"/>
    </row>
    <row r="40" spans="2:8" s="60" customFormat="1" ht="15" hidden="1" customHeight="1" x14ac:dyDescent="0.2">
      <c r="B40" s="267"/>
      <c r="C40" s="267"/>
    </row>
    <row r="41" spans="2:8" s="60" customFormat="1" ht="15" hidden="1" customHeight="1" x14ac:dyDescent="0.2">
      <c r="B41" s="267"/>
      <c r="C41" s="267"/>
    </row>
    <row r="42" spans="2:8" s="60" customFormat="1" ht="15" hidden="1" customHeight="1" x14ac:dyDescent="0.2">
      <c r="B42" s="267"/>
      <c r="C42" s="267"/>
    </row>
    <row r="43" spans="2:8" s="60" customFormat="1" ht="15" hidden="1" customHeight="1" x14ac:dyDescent="0.2">
      <c r="B43" s="267"/>
      <c r="C43" s="267"/>
    </row>
    <row r="44" spans="2:8" s="60" customFormat="1" ht="15" hidden="1" customHeight="1" x14ac:dyDescent="0.2">
      <c r="B44" s="267"/>
      <c r="C44" s="267"/>
    </row>
    <row r="45" spans="2:8" s="60" customFormat="1" ht="15" hidden="1" customHeight="1" x14ac:dyDescent="0.2">
      <c r="B45" s="267"/>
      <c r="C45" s="267"/>
    </row>
    <row r="46" spans="2:8" s="60" customFormat="1" ht="15" hidden="1" customHeight="1" x14ac:dyDescent="0.2">
      <c r="B46" s="267"/>
      <c r="C46" s="267"/>
    </row>
    <row r="47" spans="2:8" s="60" customFormat="1" ht="15" hidden="1" customHeight="1" x14ac:dyDescent="0.2">
      <c r="B47" s="267"/>
      <c r="C47" s="267"/>
    </row>
    <row r="48" spans="2:8" s="60" customFormat="1" ht="15" hidden="1" customHeight="1" x14ac:dyDescent="0.2">
      <c r="B48" s="267"/>
      <c r="C48" s="267"/>
    </row>
    <row r="49" spans="2:3" s="60" customFormat="1" ht="15" hidden="1" customHeight="1" x14ac:dyDescent="0.2">
      <c r="B49" s="267"/>
      <c r="C49" s="267"/>
    </row>
    <row r="50" spans="2:3" s="60" customFormat="1" ht="15" hidden="1" customHeight="1" x14ac:dyDescent="0.2">
      <c r="B50" s="267"/>
      <c r="C50" s="267"/>
    </row>
    <row r="51" spans="2:3" s="60" customFormat="1" ht="15" hidden="1" customHeight="1" x14ac:dyDescent="0.2">
      <c r="B51" s="267"/>
      <c r="C51" s="267"/>
    </row>
    <row r="52" spans="2:3" s="60" customFormat="1" ht="15" hidden="1" customHeight="1" x14ac:dyDescent="0.2">
      <c r="B52" s="267"/>
      <c r="C52" s="267"/>
    </row>
    <row r="53" spans="2:3" s="60" customFormat="1" ht="15" hidden="1" customHeight="1" x14ac:dyDescent="0.2">
      <c r="B53" s="267"/>
      <c r="C53" s="267"/>
    </row>
    <row r="54" spans="2:3" s="60" customFormat="1" ht="15" hidden="1" customHeight="1" x14ac:dyDescent="0.2">
      <c r="B54" s="267"/>
      <c r="C54" s="267"/>
    </row>
    <row r="55" spans="2:3" s="60" customFormat="1" ht="15" hidden="1" customHeight="1" x14ac:dyDescent="0.2">
      <c r="B55" s="267"/>
      <c r="C55" s="267"/>
    </row>
    <row r="56" spans="2:3" s="60" customFormat="1" ht="15" hidden="1" customHeight="1" x14ac:dyDescent="0.2">
      <c r="B56" s="267"/>
      <c r="C56" s="267"/>
    </row>
    <row r="57" spans="2:3" s="60" customFormat="1" ht="15" hidden="1" customHeight="1" x14ac:dyDescent="0.2">
      <c r="B57" s="267"/>
      <c r="C57" s="267"/>
    </row>
    <row r="58" spans="2:3" s="60" customFormat="1" ht="15" hidden="1" customHeight="1" x14ac:dyDescent="0.2">
      <c r="B58" s="267"/>
      <c r="C58" s="267"/>
    </row>
    <row r="59" spans="2:3" s="60" customFormat="1" ht="15" hidden="1" customHeight="1" x14ac:dyDescent="0.2">
      <c r="B59" s="267"/>
      <c r="C59" s="267"/>
    </row>
    <row r="60" spans="2:3" s="60" customFormat="1" ht="15" hidden="1" customHeight="1" x14ac:dyDescent="0.2">
      <c r="B60" s="267"/>
      <c r="C60" s="267"/>
    </row>
    <row r="61" spans="2:3" s="60" customFormat="1" ht="15" hidden="1" customHeight="1" x14ac:dyDescent="0.2">
      <c r="B61" s="267"/>
      <c r="C61" s="267"/>
    </row>
    <row r="62" spans="2:3" ht="15" hidden="1" customHeight="1" x14ac:dyDescent="0.2"/>
    <row r="63" spans="2:3" ht="15" hidden="1" customHeight="1" x14ac:dyDescent="0.2"/>
    <row r="64" spans="2:3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</sheetData>
  <sheetProtection algorithmName="SHA-512" hashValue="4Z/rC8WsToau/rh0Tt3o6d02txvJH9AILeGHY6SGtFyVHjOOn5YhSc+GoXit6qn1IKV/jM2mCLydGzCgklA79w==" saltValue="tdEsykrbG7ljdzl0utavuQ==" spinCount="100000" sheet="1" objects="1" scenarios="1" selectLockedCells="1"/>
  <mergeCells count="3">
    <mergeCell ref="E33:F33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rowBreaks count="1" manualBreakCount="1">
    <brk id="35" min="2" max="13" man="1"/>
  </rowBreaks>
  <colBreaks count="1" manualBreakCount="1">
    <brk id="10" max="1048575" man="1"/>
  </colBreaks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4">
    <pageSetUpPr fitToPage="1"/>
  </sheetPr>
  <dimension ref="A1:Y4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1982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>
      <c r="L10" s="27"/>
      <c r="M10" s="27"/>
    </row>
    <row r="11" spans="1:16" ht="15" customHeight="1" x14ac:dyDescent="0.2">
      <c r="D11" s="60" t="s">
        <v>351</v>
      </c>
      <c r="G11" s="237">
        <v>1</v>
      </c>
      <c r="H11" s="297" t="s">
        <v>352</v>
      </c>
      <c r="I11" s="5">
        <v>0.3</v>
      </c>
      <c r="J11" s="266" t="s">
        <v>355</v>
      </c>
      <c r="K11" s="299">
        <f>10000/(G11*I11)</f>
        <v>33333.333333333336</v>
      </c>
      <c r="L11" s="266" t="s">
        <v>353</v>
      </c>
      <c r="N11" s="27"/>
      <c r="O11" s="27"/>
    </row>
    <row r="12" spans="1:16" ht="15" customHeight="1" x14ac:dyDescent="0.2">
      <c r="D12" s="60"/>
      <c r="G12" s="265"/>
      <c r="H12" s="271"/>
      <c r="I12" s="271"/>
      <c r="N12" s="27"/>
      <c r="O12" s="27"/>
    </row>
    <row r="13" spans="1:16" ht="15" customHeight="1" x14ac:dyDescent="0.2">
      <c r="D13" s="60" t="s">
        <v>338</v>
      </c>
      <c r="G13" s="237">
        <v>5</v>
      </c>
      <c r="H13" s="49" t="s">
        <v>1953</v>
      </c>
      <c r="I13" s="271"/>
      <c r="N13" s="27"/>
      <c r="O13" s="27"/>
    </row>
    <row r="14" spans="1:16" ht="15" customHeight="1" x14ac:dyDescent="0.2">
      <c r="D14" s="60"/>
      <c r="G14" s="237">
        <v>80</v>
      </c>
      <c r="H14" s="49" t="s">
        <v>1933</v>
      </c>
      <c r="I14" s="271"/>
      <c r="N14" s="27"/>
      <c r="O14" s="27"/>
    </row>
    <row r="15" spans="1:16" ht="15" customHeight="1" x14ac:dyDescent="0.2">
      <c r="D15" s="60"/>
      <c r="G15" s="237">
        <v>9</v>
      </c>
      <c r="H15" s="49" t="s">
        <v>1934</v>
      </c>
      <c r="I15" s="271"/>
      <c r="N15" s="27"/>
      <c r="O15" s="27"/>
    </row>
    <row r="16" spans="1:16" ht="15" customHeight="1" x14ac:dyDescent="0.2">
      <c r="D16" s="60"/>
      <c r="G16" s="237">
        <v>30</v>
      </c>
      <c r="H16" s="49" t="s">
        <v>1929</v>
      </c>
      <c r="I16" s="271"/>
      <c r="N16" s="27"/>
      <c r="O16" s="27"/>
    </row>
    <row r="17" spans="4:25" ht="15" customHeight="1" x14ac:dyDescent="0.2">
      <c r="D17" s="60"/>
      <c r="G17" s="265"/>
      <c r="H17" s="49"/>
      <c r="I17" s="271"/>
      <c r="N17" s="27"/>
      <c r="O17" s="27"/>
    </row>
    <row r="18" spans="4:25" ht="15" customHeight="1" x14ac:dyDescent="0.2">
      <c r="D18" s="60" t="s">
        <v>340</v>
      </c>
      <c r="G18" s="237">
        <v>90</v>
      </c>
      <c r="H18" s="49" t="s">
        <v>341</v>
      </c>
      <c r="I18" s="271"/>
      <c r="N18" s="27"/>
      <c r="O18" s="27"/>
    </row>
    <row r="19" spans="4:25" ht="15" customHeight="1" x14ac:dyDescent="0.2">
      <c r="G19" s="265"/>
      <c r="H19" s="49"/>
      <c r="N19" s="27"/>
      <c r="O19" s="27"/>
    </row>
    <row r="20" spans="4:25" ht="15" customHeight="1" x14ac:dyDescent="0.25">
      <c r="D20" s="291" t="s">
        <v>371</v>
      </c>
      <c r="E20" s="291"/>
      <c r="F20" s="291"/>
      <c r="G20" s="291"/>
      <c r="H20" s="302"/>
      <c r="I20" s="27"/>
    </row>
    <row r="21" spans="4:25" ht="15" customHeight="1" x14ac:dyDescent="0.25">
      <c r="D21" s="309"/>
      <c r="E21" s="309"/>
      <c r="F21" s="309"/>
      <c r="G21" s="309"/>
      <c r="H21" s="49"/>
      <c r="N21" s="304"/>
      <c r="P21" s="304"/>
    </row>
    <row r="22" spans="4:25" s="213" customFormat="1" ht="15" customHeight="1" x14ac:dyDescent="0.2">
      <c r="D22" s="294" t="s">
        <v>348</v>
      </c>
      <c r="G22" s="286">
        <f>IF(W22&gt;0,W22,0)</f>
        <v>4</v>
      </c>
      <c r="H22" s="357" t="s">
        <v>349</v>
      </c>
      <c r="J22" s="303"/>
      <c r="W22" s="315">
        <f xml:space="preserve"> G15*(70-G16)/G18</f>
        <v>4</v>
      </c>
      <c r="X22" s="26" t="s">
        <v>119</v>
      </c>
      <c r="Y22" s="27"/>
    </row>
    <row r="23" spans="4:25" ht="15" customHeight="1" x14ac:dyDescent="0.2">
      <c r="D23" s="60"/>
      <c r="G23" s="222"/>
      <c r="H23" s="49"/>
    </row>
    <row r="24" spans="4:25" ht="15" customHeight="1" x14ac:dyDescent="0.2">
      <c r="D24" s="60" t="s">
        <v>968</v>
      </c>
      <c r="G24" s="224">
        <v>10</v>
      </c>
      <c r="H24" s="170" t="s">
        <v>558</v>
      </c>
      <c r="I24" s="222" t="str">
        <f>IF(G14&lt;80,"20-00-30",IF(AND(G14&gt;=80,G14&lt;150),"20-00-20",IF(AND(G14&gt;=150,G14&lt;200),"20-00-15",IF(AND(G14&gt;=200,G14&lt;280),"20-00-10","Sulf. Amônio"))))</f>
        <v>20-00-20</v>
      </c>
      <c r="J24" s="266" t="s">
        <v>300</v>
      </c>
      <c r="N24" s="27"/>
      <c r="P24" s="27"/>
      <c r="Q24" s="27"/>
    </row>
    <row r="25" spans="4:25" ht="15" customHeight="1" x14ac:dyDescent="0.2">
      <c r="D25" s="60"/>
      <c r="G25" s="224" t="str">
        <f>IF(G13&lt;20,"40",IF(AND(G13&gt;=20,G13&lt;60),"30",IF(AND(G13&gt;=60,G13&lt;100),"20",IF(AND(G13&gt;=100,G13&lt;150),"10",0))))</f>
        <v>40</v>
      </c>
      <c r="H25" s="49" t="s">
        <v>245</v>
      </c>
      <c r="J25" s="303"/>
      <c r="K25" s="218"/>
      <c r="L25" s="271"/>
      <c r="N25" s="27"/>
      <c r="P25" s="27"/>
      <c r="Q25" s="27"/>
    </row>
    <row r="26" spans="4:25" ht="15" customHeight="1" x14ac:dyDescent="0.2">
      <c r="D26" s="60"/>
      <c r="G26" s="224">
        <f>(40/K11)*1000</f>
        <v>1.2</v>
      </c>
      <c r="H26" s="49" t="s">
        <v>354</v>
      </c>
      <c r="J26" s="208"/>
      <c r="K26" s="218"/>
      <c r="L26" s="27"/>
      <c r="M26" s="263"/>
      <c r="N26" s="263"/>
      <c r="O26" s="263"/>
    </row>
    <row r="27" spans="4:25" ht="15" customHeight="1" x14ac:dyDescent="0.2">
      <c r="D27" s="60"/>
      <c r="G27" s="225"/>
      <c r="H27" s="319"/>
      <c r="J27" s="265"/>
      <c r="N27" s="263"/>
      <c r="O27" s="263"/>
    </row>
    <row r="28" spans="4:25" ht="15" customHeight="1" x14ac:dyDescent="0.2">
      <c r="D28" s="60" t="s">
        <v>342</v>
      </c>
      <c r="G28" s="224">
        <v>20</v>
      </c>
      <c r="H28" s="170" t="s">
        <v>558</v>
      </c>
      <c r="I28" s="222" t="str">
        <f>I24</f>
        <v>20-00-20</v>
      </c>
      <c r="J28" s="308" t="s">
        <v>925</v>
      </c>
      <c r="N28" s="27"/>
      <c r="O28" s="27"/>
    </row>
    <row r="29" spans="4:25" ht="15" customHeight="1" x14ac:dyDescent="0.2">
      <c r="G29" s="224">
        <v>25</v>
      </c>
      <c r="H29" s="170" t="s">
        <v>558</v>
      </c>
      <c r="I29" s="222" t="str">
        <f>I24</f>
        <v>20-00-20</v>
      </c>
      <c r="J29" s="308" t="s">
        <v>1343</v>
      </c>
      <c r="N29" s="27"/>
      <c r="O29" s="27"/>
    </row>
    <row r="30" spans="4:25" ht="15" customHeight="1" x14ac:dyDescent="0.2">
      <c r="F30" s="308"/>
    </row>
    <row r="31" spans="4:25" ht="15" customHeight="1" x14ac:dyDescent="0.2"/>
    <row r="32" spans="4:25" ht="15" customHeight="1" x14ac:dyDescent="0.2">
      <c r="D32" s="169"/>
      <c r="E32" s="169"/>
    </row>
    <row r="33" spans="2:15" ht="15" customHeight="1" x14ac:dyDescent="0.2">
      <c r="N33" s="27"/>
      <c r="O33" s="27"/>
    </row>
    <row r="34" spans="2:15" ht="15" customHeight="1" x14ac:dyDescent="0.2">
      <c r="N34" s="27"/>
      <c r="O34" s="27"/>
    </row>
    <row r="35" spans="2:15" ht="15" customHeight="1" x14ac:dyDescent="0.2"/>
    <row r="36" spans="2:15" ht="15" customHeight="1" x14ac:dyDescent="0.2"/>
    <row r="37" spans="2:15" s="60" customFormat="1" ht="15" customHeight="1" x14ac:dyDescent="0.2">
      <c r="D37" s="226" t="s">
        <v>891</v>
      </c>
      <c r="E37" s="771">
        <f ca="1">TODAY()</f>
        <v>45064</v>
      </c>
      <c r="F37" s="772"/>
      <c r="G37" s="60" t="s">
        <v>373</v>
      </c>
    </row>
    <row r="38" spans="2:15" s="60" customFormat="1" ht="15" customHeight="1" x14ac:dyDescent="0.2">
      <c r="D38" s="267"/>
    </row>
    <row r="39" spans="2:15" s="60" customFormat="1" ht="15" hidden="1" customHeight="1" x14ac:dyDescent="0.2">
      <c r="D39" s="267"/>
    </row>
    <row r="40" spans="2:15" s="60" customFormat="1" ht="15" hidden="1" customHeight="1" x14ac:dyDescent="0.2">
      <c r="B40" s="267"/>
    </row>
    <row r="41" spans="2:15" s="60" customFormat="1" ht="15" hidden="1" customHeight="1" x14ac:dyDescent="0.2">
      <c r="B41" s="267"/>
    </row>
    <row r="42" spans="2:15" s="60" customFormat="1" ht="15" hidden="1" customHeight="1" x14ac:dyDescent="0.2">
      <c r="B42" s="267"/>
    </row>
    <row r="43" spans="2:15" s="60" customFormat="1" ht="15" hidden="1" customHeight="1" x14ac:dyDescent="0.2">
      <c r="B43" s="267"/>
    </row>
    <row r="44" spans="2:15" s="60" customFormat="1" ht="15" hidden="1" customHeight="1" x14ac:dyDescent="0.2">
      <c r="B44" s="267"/>
      <c r="G44" s="266"/>
      <c r="L44" s="266"/>
      <c r="M44" s="266"/>
    </row>
    <row r="45" spans="2:15" ht="15" hidden="1" customHeight="1" x14ac:dyDescent="0.2"/>
    <row r="46" spans="2:15" ht="15" hidden="1" customHeight="1" x14ac:dyDescent="0.2"/>
    <row r="47" spans="2:15" ht="15" hidden="1" customHeight="1" x14ac:dyDescent="0.2"/>
    <row r="48" spans="2:15" ht="15" hidden="1" customHeight="1" x14ac:dyDescent="0.2"/>
  </sheetData>
  <sheetProtection algorithmName="SHA-512" hashValue="Tcs4fXlPl7LcXr6cHvek/yHA6vdUX7wHsKqV1lKgQUfuLcMc1h2xDdWk4pJ7+MU7peH91oZ0Hf0QZ8Cozp6WpQ==" saltValue="0ZVzm1BSrG7W61J+5qEEzw==" spinCount="100000" sheet="1" objects="1" scenarios="1" selectLockedCells="1"/>
  <mergeCells count="3">
    <mergeCell ref="C6:N6"/>
    <mergeCell ref="E8:M8"/>
    <mergeCell ref="E37:F37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4">
    <pageSetUpPr fitToPage="1"/>
  </sheetPr>
  <dimension ref="A1:Y4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1981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49" t="s">
        <v>2033</v>
      </c>
      <c r="F11" s="283"/>
      <c r="G11" s="208"/>
      <c r="H11" s="27"/>
      <c r="I11" s="299"/>
      <c r="J11" s="27"/>
    </row>
    <row r="12" spans="1:16" ht="15" customHeight="1" x14ac:dyDescent="0.2">
      <c r="G12" s="208"/>
      <c r="H12" s="27"/>
      <c r="I12" s="299"/>
      <c r="J12" s="27"/>
    </row>
    <row r="13" spans="1:16" ht="15" customHeight="1" x14ac:dyDescent="0.2">
      <c r="D13" s="298" t="s">
        <v>1703</v>
      </c>
      <c r="G13" s="237">
        <v>5</v>
      </c>
      <c r="H13" s="284" t="s">
        <v>1953</v>
      </c>
      <c r="I13" s="271"/>
    </row>
    <row r="14" spans="1:16" ht="15" customHeight="1" x14ac:dyDescent="0.2">
      <c r="G14" s="237">
        <v>150</v>
      </c>
      <c r="H14" s="284" t="s">
        <v>1933</v>
      </c>
      <c r="I14" s="271"/>
    </row>
    <row r="15" spans="1:16" ht="15" customHeight="1" x14ac:dyDescent="0.2">
      <c r="G15" s="7">
        <v>8.9499999999999993</v>
      </c>
      <c r="H15" s="284" t="s">
        <v>1934</v>
      </c>
      <c r="I15" s="271"/>
    </row>
    <row r="16" spans="1:16" ht="15" customHeight="1" x14ac:dyDescent="0.2">
      <c r="G16" s="10">
        <v>40</v>
      </c>
      <c r="H16" s="284" t="s">
        <v>1929</v>
      </c>
      <c r="I16" s="271"/>
    </row>
    <row r="17" spans="3:25" ht="15" customHeight="1" x14ac:dyDescent="0.2">
      <c r="G17" s="265"/>
      <c r="H17" s="290"/>
      <c r="I17" s="271"/>
    </row>
    <row r="18" spans="3:25" ht="15" customHeight="1" x14ac:dyDescent="0.2">
      <c r="D18" s="60" t="s">
        <v>340</v>
      </c>
      <c r="G18" s="237">
        <v>90</v>
      </c>
      <c r="H18" s="49" t="s">
        <v>341</v>
      </c>
    </row>
    <row r="19" spans="3:25" ht="15" customHeight="1" x14ac:dyDescent="0.2"/>
    <row r="20" spans="3:25" ht="15" customHeight="1" x14ac:dyDescent="0.25">
      <c r="D20" s="291" t="s">
        <v>371</v>
      </c>
      <c r="E20" s="291"/>
      <c r="F20" s="291"/>
      <c r="G20" s="291"/>
      <c r="H20" s="27"/>
      <c r="N20" s="213"/>
    </row>
    <row r="21" spans="3:25" ht="15" customHeight="1" x14ac:dyDescent="0.25">
      <c r="D21" s="291"/>
      <c r="E21" s="291"/>
      <c r="F21" s="291"/>
      <c r="G21" s="291"/>
      <c r="H21" s="27"/>
      <c r="N21" s="213"/>
    </row>
    <row r="22" spans="3:25" s="213" customFormat="1" ht="15" customHeight="1" x14ac:dyDescent="0.2">
      <c r="D22" s="294" t="s">
        <v>348</v>
      </c>
      <c r="G22" s="286">
        <f>IF(X22&gt;0,X22,0)</f>
        <v>2.9833333333333334</v>
      </c>
      <c r="H22" s="300" t="s">
        <v>349</v>
      </c>
      <c r="I22" s="303"/>
      <c r="M22" s="49"/>
      <c r="N22" s="49"/>
      <c r="O22" s="49"/>
      <c r="P22" s="49"/>
      <c r="W22" s="49"/>
      <c r="X22" s="315">
        <f xml:space="preserve"> G15*(70-G16)/G18</f>
        <v>2.9833333333333334</v>
      </c>
      <c r="Y22" s="49" t="s">
        <v>119</v>
      </c>
    </row>
    <row r="23" spans="3:25" ht="15" customHeight="1" x14ac:dyDescent="0.2">
      <c r="D23" s="60"/>
      <c r="G23" s="222"/>
      <c r="M23" s="49"/>
      <c r="N23" s="49"/>
      <c r="O23" s="49"/>
      <c r="P23" s="49"/>
    </row>
    <row r="24" spans="3:25" ht="15" customHeight="1" x14ac:dyDescent="0.2">
      <c r="D24" s="60" t="s">
        <v>1701</v>
      </c>
      <c r="G24" s="224">
        <v>5</v>
      </c>
      <c r="H24" s="305" t="s">
        <v>805</v>
      </c>
      <c r="I24" s="221"/>
      <c r="P24" s="49"/>
    </row>
    <row r="25" spans="3:25" ht="15" customHeight="1" x14ac:dyDescent="0.2">
      <c r="D25" s="60"/>
      <c r="G25" s="224" t="str">
        <f>IF(G13&lt;20,"230",IF(AND(G13&gt;=20,G13&lt;60),"180",IF(AND(G13&gt;=60,G13&lt;100),"130",IF(AND(G13&gt;=100,G13&lt;150),"80",0))))</f>
        <v>230</v>
      </c>
      <c r="H25" s="213" t="s">
        <v>806</v>
      </c>
      <c r="I25" s="303"/>
      <c r="J25" s="218"/>
      <c r="K25" s="263"/>
      <c r="L25" s="27"/>
      <c r="M25" s="26"/>
      <c r="N25" s="26"/>
      <c r="O25" s="49"/>
      <c r="P25" s="49"/>
    </row>
    <row r="26" spans="3:25" ht="15" customHeight="1" x14ac:dyDescent="0.2">
      <c r="D26" s="60"/>
      <c r="G26" s="224">
        <v>5</v>
      </c>
      <c r="H26" s="213" t="s">
        <v>1053</v>
      </c>
      <c r="I26" s="208"/>
      <c r="J26" s="218"/>
      <c r="K26" s="263"/>
      <c r="M26" s="49"/>
      <c r="N26" s="49"/>
      <c r="O26" s="49"/>
      <c r="P26" s="49"/>
    </row>
    <row r="27" spans="3:25" ht="15" customHeight="1" x14ac:dyDescent="0.2">
      <c r="D27" s="60"/>
      <c r="G27" s="169"/>
      <c r="K27" s="263"/>
    </row>
    <row r="28" spans="3:25" ht="15" customHeight="1" x14ac:dyDescent="0.2">
      <c r="D28" s="60" t="s">
        <v>342</v>
      </c>
      <c r="G28" s="224">
        <v>15</v>
      </c>
      <c r="H28" s="266" t="s">
        <v>1296</v>
      </c>
      <c r="I28" s="222" t="str">
        <f>IF(G14&lt;80,"20-00-30",IF(AND(G14&gt;=80,G14&lt;150),"20-00-20",IF(AND(G14&gt;=150,G14&lt;200),"20-00-15",IF(AND(G14&gt;=200,G14&lt;280),"20-00-10","Sulf. Amônio"))))</f>
        <v>20-00-15</v>
      </c>
      <c r="J28" s="308" t="s">
        <v>1306</v>
      </c>
      <c r="K28" s="263"/>
      <c r="L28" s="27"/>
      <c r="M28" s="27"/>
    </row>
    <row r="29" spans="3:25" ht="15" customHeight="1" x14ac:dyDescent="0.2">
      <c r="C29" s="27"/>
      <c r="D29" s="296"/>
      <c r="G29" s="224">
        <v>20</v>
      </c>
      <c r="H29" s="266" t="s">
        <v>1297</v>
      </c>
      <c r="I29" s="222" t="str">
        <f>I28</f>
        <v>20-00-15</v>
      </c>
      <c r="J29" s="308" t="s">
        <v>191</v>
      </c>
      <c r="K29" s="27"/>
    </row>
    <row r="30" spans="3:25" ht="15" customHeight="1" x14ac:dyDescent="0.2">
      <c r="C30" s="27"/>
      <c r="D30" s="27"/>
      <c r="G30" s="224">
        <v>25</v>
      </c>
      <c r="H30" s="266" t="s">
        <v>1297</v>
      </c>
      <c r="I30" s="222" t="str">
        <f>I28</f>
        <v>20-00-15</v>
      </c>
      <c r="J30" s="308" t="s">
        <v>926</v>
      </c>
      <c r="K30" s="27"/>
    </row>
    <row r="31" spans="3:25" ht="15" customHeight="1" x14ac:dyDescent="0.2">
      <c r="C31" s="27"/>
      <c r="D31" s="27"/>
      <c r="E31" s="224"/>
      <c r="G31" s="221"/>
      <c r="H31" s="308"/>
      <c r="K31" s="27"/>
    </row>
    <row r="32" spans="3:25" ht="15" customHeight="1" x14ac:dyDescent="0.2">
      <c r="C32" s="169"/>
    </row>
    <row r="33" spans="3:14" ht="15" customHeight="1" x14ac:dyDescent="0.2"/>
    <row r="34" spans="3:14" ht="15" customHeight="1" x14ac:dyDescent="0.2"/>
    <row r="35" spans="3:14" ht="15" customHeight="1" x14ac:dyDescent="0.2"/>
    <row r="36" spans="3:14" ht="15" customHeight="1" x14ac:dyDescent="0.2"/>
    <row r="37" spans="3:14" s="60" customFormat="1" ht="15" customHeight="1" x14ac:dyDescent="0.2"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</row>
    <row r="38" spans="3:14" s="60" customFormat="1" ht="15" customHeight="1" x14ac:dyDescent="0.2">
      <c r="D38" s="226" t="s">
        <v>891</v>
      </c>
      <c r="E38" s="771">
        <f ca="1">TODAY()</f>
        <v>45064</v>
      </c>
      <c r="F38" s="772"/>
      <c r="G38" s="60" t="s">
        <v>373</v>
      </c>
    </row>
    <row r="39" spans="3:14" s="60" customFormat="1" ht="15" customHeight="1" x14ac:dyDescent="0.2">
      <c r="D39" s="267"/>
    </row>
    <row r="40" spans="3:14" s="60" customFormat="1" ht="15" hidden="1" customHeight="1" x14ac:dyDescent="0.2">
      <c r="D40" s="267"/>
    </row>
    <row r="41" spans="3:14" ht="15" hidden="1" customHeight="1" x14ac:dyDescent="0.2"/>
    <row r="42" spans="3:14" ht="15" hidden="1" customHeight="1" x14ac:dyDescent="0.2"/>
    <row r="43" spans="3:14" s="60" customFormat="1" ht="15" hidden="1" customHeight="1" x14ac:dyDescent="0.2">
      <c r="D43" s="267"/>
      <c r="I43" s="266"/>
    </row>
    <row r="44" spans="3:14" ht="15" hidden="1" customHeight="1" x14ac:dyDescent="0.2"/>
    <row r="45" spans="3:14" ht="15" hidden="1" customHeight="1" x14ac:dyDescent="0.2"/>
    <row r="46" spans="3:14" ht="15" hidden="1" customHeight="1" x14ac:dyDescent="0.2"/>
    <row r="47" spans="3:14" ht="15" hidden="1" customHeight="1" x14ac:dyDescent="0.2"/>
    <row r="48" spans="3:14" ht="15" hidden="1" customHeight="1" x14ac:dyDescent="0.2"/>
  </sheetData>
  <sheetProtection algorithmName="SHA-512" hashValue="abPOXthz28YFZD9LGlW7OnlL6gBAPbacpvGgo5WwEgxmvP9uzW6d4OMhDPbmBrNklfE/eUwn2KZQjGyry5e60w==" saltValue="bioXyZM3AwPM59MPdluqxw==" spinCount="100000" sheet="1" objects="1" scenarios="1" selectLockedCells="1"/>
  <mergeCells count="3">
    <mergeCell ref="C6:N6"/>
    <mergeCell ref="E8:M8"/>
    <mergeCell ref="E38:F3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5">
    <pageSetUpPr fitToPage="1"/>
  </sheetPr>
  <dimension ref="A1:X54"/>
  <sheetViews>
    <sheetView showGridLines="0" showRowColHeaders="0" zoomScaleNormal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1980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11" spans="1:16" ht="15" customHeight="1" x14ac:dyDescent="0.2">
      <c r="D11" s="60" t="s">
        <v>351</v>
      </c>
      <c r="G11" s="237">
        <v>0.8</v>
      </c>
      <c r="H11" s="297" t="s">
        <v>352</v>
      </c>
      <c r="I11" s="5">
        <v>0.5</v>
      </c>
      <c r="J11" s="266" t="s">
        <v>355</v>
      </c>
      <c r="K11" s="299">
        <f>10000/(G11*I11)</f>
        <v>25000</v>
      </c>
      <c r="L11" s="266" t="s">
        <v>353</v>
      </c>
    </row>
    <row r="12" spans="1:16" ht="15" customHeight="1" x14ac:dyDescent="0.2">
      <c r="D12" s="265"/>
      <c r="E12" s="271"/>
      <c r="F12" s="271"/>
    </row>
    <row r="13" spans="1:16" ht="15" customHeight="1" x14ac:dyDescent="0.2">
      <c r="D13" s="60" t="s">
        <v>338</v>
      </c>
      <c r="G13" s="237">
        <v>10</v>
      </c>
      <c r="H13" s="49" t="s">
        <v>1953</v>
      </c>
    </row>
    <row r="14" spans="1:16" ht="15" customHeight="1" x14ac:dyDescent="0.2">
      <c r="D14" s="225"/>
      <c r="G14" s="237">
        <v>160</v>
      </c>
      <c r="H14" s="49" t="s">
        <v>1933</v>
      </c>
    </row>
    <row r="15" spans="1:16" ht="15" customHeight="1" x14ac:dyDescent="0.2">
      <c r="D15" s="225"/>
      <c r="G15" s="237">
        <v>9</v>
      </c>
      <c r="H15" s="49" t="s">
        <v>1934</v>
      </c>
    </row>
    <row r="16" spans="1:16" ht="15" customHeight="1" x14ac:dyDescent="0.2">
      <c r="D16" s="225"/>
      <c r="G16" s="237">
        <v>40</v>
      </c>
      <c r="H16" s="49" t="s">
        <v>1929</v>
      </c>
    </row>
    <row r="17" spans="2:24" ht="15" customHeight="1" x14ac:dyDescent="0.2">
      <c r="D17" s="225"/>
      <c r="E17" s="265"/>
      <c r="F17" s="290"/>
      <c r="G17" s="271"/>
    </row>
    <row r="18" spans="2:24" ht="15" customHeight="1" x14ac:dyDescent="0.2">
      <c r="D18" s="60" t="s">
        <v>340</v>
      </c>
      <c r="G18" s="237">
        <v>80</v>
      </c>
      <c r="H18" s="49" t="s">
        <v>341</v>
      </c>
    </row>
    <row r="19" spans="2:24" ht="15" customHeight="1" x14ac:dyDescent="0.2">
      <c r="D19" s="265"/>
      <c r="M19" s="26"/>
      <c r="N19" s="26"/>
      <c r="O19" s="26"/>
    </row>
    <row r="20" spans="2:24" ht="15" customHeight="1" x14ac:dyDescent="0.25">
      <c r="D20" s="291" t="s">
        <v>371</v>
      </c>
      <c r="E20" s="291"/>
      <c r="F20" s="291"/>
      <c r="G20" s="27"/>
      <c r="L20" s="213"/>
      <c r="M20" s="26"/>
      <c r="N20" s="26"/>
      <c r="O20" s="26"/>
    </row>
    <row r="21" spans="2:24" ht="15" customHeight="1" x14ac:dyDescent="0.25">
      <c r="D21" s="291"/>
      <c r="E21" s="291"/>
      <c r="F21" s="291"/>
      <c r="G21" s="27"/>
      <c r="L21" s="213"/>
      <c r="M21" s="26"/>
      <c r="N21" s="26"/>
      <c r="O21" s="26"/>
    </row>
    <row r="22" spans="2:24" s="213" customFormat="1" ht="15" customHeight="1" x14ac:dyDescent="0.2">
      <c r="D22" s="294" t="s">
        <v>348</v>
      </c>
      <c r="G22" s="286">
        <f>IF((G15*(70-G16)/G18)&gt;0,
G15*(70-G16)/G18,
0)</f>
        <v>3.375</v>
      </c>
      <c r="H22" s="49" t="s">
        <v>349</v>
      </c>
      <c r="L22" s="266"/>
      <c r="O22" s="26"/>
      <c r="W22" s="315"/>
      <c r="X22" s="26"/>
    </row>
    <row r="23" spans="2:24" ht="15" customHeight="1" x14ac:dyDescent="0.2">
      <c r="D23" s="222"/>
      <c r="L23" s="271"/>
      <c r="M23" s="171"/>
      <c r="N23" s="26"/>
      <c r="O23" s="26"/>
    </row>
    <row r="24" spans="2:24" ht="15" customHeight="1" x14ac:dyDescent="0.2">
      <c r="D24" s="60" t="s">
        <v>1696</v>
      </c>
      <c r="G24" s="224">
        <v>10</v>
      </c>
      <c r="H24" s="305" t="s">
        <v>558</v>
      </c>
      <c r="I24" s="222" t="str">
        <f>IF(G14&lt;80,"20-00-30",IF(AND(G14&gt;=80,G14&lt;150),"20-00-20",IF(AND(G14&gt;=150,G14&lt;200),"20-00-15",IF(AND(G14&gt;=200,G14&lt;280),"20-00-10","Sulf. Amônio"))))</f>
        <v>20-00-15</v>
      </c>
      <c r="J24" s="266" t="s">
        <v>1293</v>
      </c>
      <c r="M24" s="171"/>
      <c r="N24" s="26"/>
      <c r="O24" s="26"/>
    </row>
    <row r="25" spans="2:24" ht="15" customHeight="1" x14ac:dyDescent="0.2">
      <c r="G25" s="224" t="str">
        <f>IF(G13&lt;20,"230",IF(AND(G13&gt;=20,G13&lt;60),"180",IF(AND(G13&gt;=60,G13&lt;100),"130",IF(AND(G13&gt;=100,G13&lt;150),"80",0))))</f>
        <v>230</v>
      </c>
      <c r="H25" s="213" t="s">
        <v>1304</v>
      </c>
      <c r="I25" s="303"/>
      <c r="J25" s="218"/>
      <c r="K25" s="271"/>
    </row>
    <row r="26" spans="2:24" ht="15" customHeight="1" x14ac:dyDescent="0.2">
      <c r="G26" s="224">
        <v>3</v>
      </c>
      <c r="H26" s="213" t="s">
        <v>1318</v>
      </c>
      <c r="I26" s="208"/>
      <c r="J26" s="218"/>
      <c r="K26" s="306"/>
    </row>
    <row r="27" spans="2:24" ht="15" customHeight="1" x14ac:dyDescent="0.2">
      <c r="E27" s="319"/>
    </row>
    <row r="28" spans="2:24" ht="15" customHeight="1" x14ac:dyDescent="0.2">
      <c r="D28" s="60" t="s">
        <v>342</v>
      </c>
      <c r="G28" s="224">
        <v>10</v>
      </c>
      <c r="H28" s="303" t="s">
        <v>372</v>
      </c>
      <c r="I28" s="222" t="str">
        <f>I24</f>
        <v>20-00-15</v>
      </c>
      <c r="J28" s="308" t="s">
        <v>105</v>
      </c>
    </row>
    <row r="29" spans="2:24" ht="15" customHeight="1" x14ac:dyDescent="0.2">
      <c r="D29" s="224"/>
      <c r="E29" s="305"/>
      <c r="F29" s="222"/>
      <c r="G29" s="308"/>
    </row>
    <row r="30" spans="2:24" ht="15" customHeight="1" x14ac:dyDescent="0.2">
      <c r="B30" s="169"/>
    </row>
    <row r="36" spans="2:7" s="60" customFormat="1" ht="15" customHeight="1" x14ac:dyDescent="0.2">
      <c r="C36" s="226" t="s">
        <v>891</v>
      </c>
      <c r="D36" s="771">
        <f ca="1">TODAY()</f>
        <v>45064</v>
      </c>
      <c r="E36" s="772"/>
      <c r="F36" s="60" t="s">
        <v>373</v>
      </c>
    </row>
    <row r="37" spans="2:7" s="60" customFormat="1" ht="15" customHeight="1" x14ac:dyDescent="0.2">
      <c r="B37" s="267"/>
    </row>
    <row r="38" spans="2:7" s="60" customFormat="1" ht="15" customHeight="1" x14ac:dyDescent="0.2">
      <c r="B38" s="267"/>
    </row>
    <row r="39" spans="2:7" s="60" customFormat="1" ht="15" customHeight="1" x14ac:dyDescent="0.2">
      <c r="B39" s="267"/>
    </row>
    <row r="40" spans="2:7" s="60" customFormat="1" ht="15" customHeight="1" x14ac:dyDescent="0.2">
      <c r="B40" s="267"/>
    </row>
    <row r="41" spans="2:7" s="60" customFormat="1" ht="15" customHeight="1" x14ac:dyDescent="0.2">
      <c r="B41" s="267"/>
    </row>
    <row r="42" spans="2:7" s="60" customFormat="1" ht="15" customHeight="1" x14ac:dyDescent="0.2">
      <c r="B42" s="267"/>
    </row>
    <row r="43" spans="2:7" s="60" customFormat="1" ht="15" customHeight="1" x14ac:dyDescent="0.2">
      <c r="B43" s="267"/>
      <c r="G43" s="266"/>
    </row>
    <row r="45" spans="2:7" ht="15" customHeight="1" x14ac:dyDescent="0.2">
      <c r="B45" s="320"/>
      <c r="D45" s="267"/>
      <c r="E45" s="60"/>
      <c r="F45" s="60"/>
    </row>
    <row r="46" spans="2:7" ht="15" customHeight="1" x14ac:dyDescent="0.2">
      <c r="C46" s="267"/>
      <c r="D46" s="267"/>
      <c r="E46" s="60"/>
      <c r="F46" s="60"/>
    </row>
    <row r="47" spans="2:7" ht="15" customHeight="1" x14ac:dyDescent="0.2">
      <c r="C47" s="267"/>
      <c r="D47" s="267"/>
      <c r="E47" s="60"/>
      <c r="F47" s="60"/>
    </row>
    <row r="48" spans="2:7" ht="15" customHeight="1" x14ac:dyDescent="0.2">
      <c r="C48" s="267"/>
      <c r="D48" s="267"/>
      <c r="E48" s="60"/>
      <c r="F48" s="60"/>
    </row>
    <row r="49" spans="3:6" ht="15" customHeight="1" x14ac:dyDescent="0.2">
      <c r="C49" s="267"/>
      <c r="D49" s="267"/>
      <c r="E49" s="60"/>
      <c r="F49" s="60"/>
    </row>
    <row r="50" spans="3:6" ht="15" customHeight="1" x14ac:dyDescent="0.2">
      <c r="C50" s="267"/>
      <c r="D50" s="267"/>
      <c r="E50" s="60"/>
      <c r="F50" s="60"/>
    </row>
    <row r="51" spans="3:6" ht="15" customHeight="1" x14ac:dyDescent="0.2">
      <c r="C51" s="267"/>
      <c r="D51" s="267"/>
      <c r="E51" s="60"/>
      <c r="F51" s="60"/>
    </row>
    <row r="52" spans="3:6" ht="15" customHeight="1" x14ac:dyDescent="0.2">
      <c r="C52" s="267"/>
      <c r="D52" s="267"/>
      <c r="E52" s="60"/>
      <c r="F52" s="60"/>
    </row>
    <row r="53" spans="3:6" ht="15" customHeight="1" x14ac:dyDescent="0.2">
      <c r="C53" s="267"/>
      <c r="D53" s="267"/>
      <c r="E53" s="60"/>
      <c r="F53" s="60"/>
    </row>
    <row r="54" spans="3:6" ht="15" customHeight="1" x14ac:dyDescent="0.2">
      <c r="C54" s="267"/>
      <c r="D54" s="267"/>
      <c r="E54" s="60"/>
      <c r="F54" s="60"/>
    </row>
  </sheetData>
  <sheetProtection algorithmName="SHA-512" hashValue="PkOsogtQ+jJj+Py6XITjl3vZqBYBKRWA54Q2eos3uLSWXWAZKl4Xy2RGxttdvxBmNf7sOLWsHVozrtZJuJzvHQ==" saltValue="Vs8i06tlWhEQ6TrJYt3ATQ==" spinCount="100000" sheet="1" objects="1" scenarios="1" selectLockedCells="1"/>
  <mergeCells count="3">
    <mergeCell ref="C6:N6"/>
    <mergeCell ref="E8:M8"/>
    <mergeCell ref="D36:E3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5">
    <pageSetUpPr fitToPage="1"/>
  </sheetPr>
  <dimension ref="A1:Q44"/>
  <sheetViews>
    <sheetView showGridLines="0" showRowColHeaders="0" zoomScaleNormal="100" zoomScaleSheetLayoutView="11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7" width="0" style="266" hidden="1" customWidth="1"/>
    <col min="18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1979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98" t="s">
        <v>2034</v>
      </c>
      <c r="F11" s="318"/>
      <c r="G11" s="283"/>
      <c r="H11" s="299"/>
      <c r="I11" s="27"/>
    </row>
    <row r="12" spans="1:16" ht="15" customHeight="1" x14ac:dyDescent="0.2">
      <c r="G12" s="27"/>
      <c r="H12" s="299"/>
      <c r="I12" s="27"/>
    </row>
    <row r="13" spans="1:16" ht="15" customHeight="1" x14ac:dyDescent="0.2">
      <c r="D13" s="60" t="s">
        <v>338</v>
      </c>
      <c r="G13" s="237">
        <v>25</v>
      </c>
      <c r="H13" s="49" t="s">
        <v>1953</v>
      </c>
    </row>
    <row r="14" spans="1:16" ht="15" customHeight="1" x14ac:dyDescent="0.2">
      <c r="G14" s="237">
        <v>50</v>
      </c>
      <c r="H14" s="49" t="s">
        <v>1933</v>
      </c>
    </row>
    <row r="15" spans="1:16" ht="15" customHeight="1" x14ac:dyDescent="0.2">
      <c r="G15" s="7">
        <v>8.9499999999999993</v>
      </c>
      <c r="H15" s="49" t="s">
        <v>1934</v>
      </c>
    </row>
    <row r="16" spans="1:16" ht="15" customHeight="1" x14ac:dyDescent="0.2">
      <c r="G16" s="10">
        <v>40</v>
      </c>
      <c r="H16" s="49" t="s">
        <v>1929</v>
      </c>
    </row>
    <row r="17" spans="2:17" ht="15" customHeight="1" x14ac:dyDescent="0.2">
      <c r="G17" s="265"/>
    </row>
    <row r="18" spans="2:17" ht="15" customHeight="1" x14ac:dyDescent="0.2">
      <c r="D18" s="60" t="s">
        <v>340</v>
      </c>
      <c r="G18" s="237">
        <v>90</v>
      </c>
      <c r="H18" s="49" t="s">
        <v>341</v>
      </c>
    </row>
    <row r="19" spans="2:17" ht="15" customHeight="1" x14ac:dyDescent="0.2"/>
    <row r="20" spans="2:17" ht="15" customHeight="1" x14ac:dyDescent="0.25">
      <c r="D20" s="291" t="s">
        <v>371</v>
      </c>
      <c r="E20" s="291"/>
      <c r="F20" s="291"/>
      <c r="G20" s="27"/>
      <c r="M20" s="213"/>
    </row>
    <row r="21" spans="2:17" ht="15" customHeight="1" x14ac:dyDescent="0.25">
      <c r="B21" s="309"/>
      <c r="C21" s="309"/>
      <c r="D21" s="309"/>
      <c r="E21" s="309"/>
    </row>
    <row r="22" spans="2:17" s="213" customFormat="1" ht="15" customHeight="1" x14ac:dyDescent="0.2">
      <c r="D22" s="298" t="s">
        <v>348</v>
      </c>
      <c r="G22" s="286">
        <f>IF((G15*(70-G16)/G18)&gt;0,
G15*(70-G16)/G18,
0)</f>
        <v>2.9833333333333334</v>
      </c>
      <c r="H22" s="300" t="s">
        <v>349</v>
      </c>
    </row>
    <row r="23" spans="2:17" ht="15" customHeight="1" x14ac:dyDescent="0.2">
      <c r="D23" s="298"/>
      <c r="G23" s="222"/>
    </row>
    <row r="24" spans="2:17" ht="15" customHeight="1" x14ac:dyDescent="0.2">
      <c r="D24" s="298" t="s">
        <v>1701</v>
      </c>
      <c r="G24" s="224">
        <v>5</v>
      </c>
      <c r="H24" s="305" t="s">
        <v>805</v>
      </c>
      <c r="N24" s="220"/>
      <c r="O24" s="213"/>
      <c r="P24" s="213"/>
    </row>
    <row r="25" spans="2:17" ht="15" customHeight="1" x14ac:dyDescent="0.2">
      <c r="D25" s="298"/>
      <c r="G25" s="224" t="str">
        <f>IF(G13&lt;20,"180",IF(AND(G13&gt;=20,G13&lt;60),"120",IF(AND(G13&gt;=60,G13&lt;100),"100",IF(AND(G13&gt;=100,G13&lt;150),"50",0))))</f>
        <v>120</v>
      </c>
      <c r="H25" s="213" t="s">
        <v>806</v>
      </c>
      <c r="I25" s="218"/>
      <c r="J25" s="271"/>
      <c r="M25" s="271"/>
      <c r="N25" s="263"/>
      <c r="O25" s="27"/>
      <c r="P25" s="27"/>
      <c r="Q25" s="27"/>
    </row>
    <row r="26" spans="2:17" ht="15" customHeight="1" x14ac:dyDescent="0.2">
      <c r="D26" s="298"/>
      <c r="G26" s="224">
        <v>5</v>
      </c>
      <c r="H26" s="213" t="s">
        <v>1053</v>
      </c>
      <c r="I26" s="218"/>
      <c r="J26" s="306"/>
      <c r="M26" s="27"/>
      <c r="N26" s="263"/>
    </row>
    <row r="27" spans="2:17" ht="15" customHeight="1" x14ac:dyDescent="0.2">
      <c r="D27" s="298"/>
      <c r="G27" s="169"/>
    </row>
    <row r="28" spans="2:17" ht="15" customHeight="1" x14ac:dyDescent="0.2">
      <c r="D28" s="298" t="s">
        <v>342</v>
      </c>
      <c r="G28" s="224">
        <v>10</v>
      </c>
      <c r="H28" s="266" t="s">
        <v>1296</v>
      </c>
      <c r="I28" s="308" t="s">
        <v>1306</v>
      </c>
      <c r="L28" s="27"/>
    </row>
    <row r="29" spans="2:17" ht="15" customHeight="1" x14ac:dyDescent="0.2">
      <c r="B29" s="27"/>
      <c r="D29" s="27"/>
      <c r="G29" s="224">
        <v>15</v>
      </c>
      <c r="H29" s="266" t="s">
        <v>1297</v>
      </c>
      <c r="I29" s="308" t="s">
        <v>191</v>
      </c>
    </row>
    <row r="30" spans="2:17" ht="15" customHeight="1" x14ac:dyDescent="0.2">
      <c r="B30" s="27"/>
      <c r="D30" s="27"/>
      <c r="G30" s="224">
        <v>20</v>
      </c>
      <c r="H30" s="266" t="s">
        <v>1297</v>
      </c>
      <c r="I30" s="308" t="s">
        <v>926</v>
      </c>
    </row>
    <row r="31" spans="2:17" ht="15" customHeight="1" x14ac:dyDescent="0.2">
      <c r="B31" s="27"/>
      <c r="C31" s="27"/>
      <c r="D31" s="224"/>
      <c r="F31" s="221"/>
      <c r="G31" s="308"/>
      <c r="J31" s="27"/>
    </row>
    <row r="32" spans="2:17" ht="15" customHeight="1" x14ac:dyDescent="0.2">
      <c r="B32" s="169"/>
    </row>
    <row r="33" spans="2:13" ht="15" customHeight="1" x14ac:dyDescent="0.2"/>
    <row r="34" spans="2:13" ht="15" customHeight="1" x14ac:dyDescent="0.2"/>
    <row r="35" spans="2:13" ht="15" customHeight="1" x14ac:dyDescent="0.2"/>
    <row r="36" spans="2:13" ht="15" customHeight="1" x14ac:dyDescent="0.2"/>
    <row r="37" spans="2:13" s="60" customFormat="1" ht="15" customHeight="1" x14ac:dyDescent="0.2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</row>
    <row r="38" spans="2:13" s="60" customFormat="1" ht="15" customHeight="1" x14ac:dyDescent="0.2">
      <c r="C38" s="226" t="s">
        <v>891</v>
      </c>
      <c r="D38" s="771">
        <f ca="1">TODAY()</f>
        <v>45064</v>
      </c>
      <c r="E38" s="772"/>
      <c r="F38" s="60" t="s">
        <v>373</v>
      </c>
    </row>
    <row r="39" spans="2:13" s="60" customFormat="1" ht="15" customHeight="1" x14ac:dyDescent="0.2">
      <c r="C39" s="267"/>
    </row>
    <row r="40" spans="2:13" s="60" customFormat="1" ht="15" hidden="1" customHeight="1" x14ac:dyDescent="0.2">
      <c r="C40" s="267"/>
    </row>
    <row r="41" spans="2:13" ht="15" hidden="1" customHeight="1" x14ac:dyDescent="0.2"/>
    <row r="42" spans="2:13" ht="15" hidden="1" customHeight="1" x14ac:dyDescent="0.2"/>
    <row r="43" spans="2:13" s="60" customFormat="1" ht="15" hidden="1" customHeight="1" x14ac:dyDescent="0.2">
      <c r="C43" s="267"/>
      <c r="H43" s="266"/>
    </row>
    <row r="44" spans="2:13" ht="15" hidden="1" customHeight="1" x14ac:dyDescent="0.2"/>
  </sheetData>
  <sheetProtection algorithmName="SHA-512" hashValue="vCIgMGNMtqjaQTHmmbZpILyb/TPNfzdK/FZf2ZqybGhAqOkOFmHcR61qrDPo6np53svig8rlt/MsFZGZcVo6jQ==" saltValue="QImCkVX59/3ivrHNeU13ng==" spinCount="100000" sheet="1" objects="1" scenarios="1" selectLockedCells="1"/>
  <mergeCells count="3">
    <mergeCell ref="C6:N6"/>
    <mergeCell ref="E8:M8"/>
    <mergeCell ref="D38:E3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6">
    <pageSetUpPr fitToPage="1"/>
  </sheetPr>
  <dimension ref="A1:P21"/>
  <sheetViews>
    <sheetView showGridLines="0" showRowColHeaders="0" zoomScaleNormal="100" workbookViewId="0"/>
  </sheetViews>
  <sheetFormatPr defaultColWidth="0" defaultRowHeight="12.75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2042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25">
      <c r="H7" s="50" t="s">
        <v>2066</v>
      </c>
    </row>
    <row r="8" spans="1:16" s="34" customFormat="1" ht="24.95" customHeight="1" thickTop="1" thickBot="1" x14ac:dyDescent="0.25">
      <c r="A8" s="28"/>
      <c r="F8" s="887" t="str">
        <f>HYPERLINK("#"&amp;"'Substrato'!h1","Substrato para a produção de mudas")</f>
        <v>Substrato para a produção de mudas</v>
      </c>
      <c r="G8" s="888"/>
      <c r="H8" s="888"/>
      <c r="I8" s="888"/>
      <c r="J8" s="889"/>
    </row>
    <row r="9" spans="1:16" s="34" customFormat="1" ht="24.95" customHeight="1" thickTop="1" thickBot="1" x14ac:dyDescent="0.25">
      <c r="A9" s="28"/>
      <c r="B9" s="28"/>
      <c r="C9" s="42"/>
      <c r="D9" s="28"/>
      <c r="E9" s="28"/>
      <c r="F9" s="887" t="str">
        <f>HYPERLINK("#"&amp;"'Plantio3V70'!h1","Plantio")</f>
        <v>Plantio</v>
      </c>
      <c r="G9" s="888"/>
      <c r="H9" s="888"/>
      <c r="I9" s="888"/>
      <c r="J9" s="889"/>
    </row>
    <row r="10" spans="1:16" s="34" customFormat="1" ht="24.95" customHeight="1" thickTop="1" thickBot="1" x14ac:dyDescent="0.25">
      <c r="B10" s="28"/>
      <c r="F10" s="887" t="str">
        <f>HYPERLINK("#"&amp;"'Seringueira1a3'!h1","Formação - 1 a 3 anos")</f>
        <v>Formação - 1 a 3 anos</v>
      </c>
      <c r="G10" s="888"/>
      <c r="H10" s="888"/>
      <c r="I10" s="888"/>
      <c r="J10" s="889"/>
    </row>
    <row r="11" spans="1:16" s="34" customFormat="1" ht="24.95" customHeight="1" thickTop="1" thickBot="1" x14ac:dyDescent="0.25">
      <c r="F11" s="887" t="str">
        <f>HYPERLINK("#"&amp;"'Seringueira4a15'!h1","Seringal - 4 a 15 anos")</f>
        <v>Seringal - 4 a 15 anos</v>
      </c>
      <c r="G11" s="888"/>
      <c r="H11" s="888"/>
      <c r="I11" s="888"/>
      <c r="J11" s="889"/>
    </row>
    <row r="12" spans="1:16" s="34" customFormat="1" ht="24.95" customHeight="1" thickTop="1" thickBot="1" x14ac:dyDescent="0.25">
      <c r="F12" s="887" t="str">
        <f>HYPERLINK("#"&amp;"'Seringueira15a'!h1","Seringal acima de 15 anos")</f>
        <v>Seringal acima de 15 anos</v>
      </c>
      <c r="G12" s="888"/>
      <c r="H12" s="888"/>
      <c r="I12" s="888"/>
      <c r="J12" s="889"/>
    </row>
    <row r="13" spans="1:16" s="34" customFormat="1" ht="24.95" customHeight="1" thickTop="1" x14ac:dyDescent="0.2"/>
    <row r="14" spans="1:16" s="34" customFormat="1" ht="15" hidden="1" customHeight="1" x14ac:dyDescent="0.2"/>
    <row r="15" spans="1:16" hidden="1" x14ac:dyDescent="0.2"/>
    <row r="16" spans="1:16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</sheetData>
  <sheetProtection algorithmName="SHA-512" hashValue="t4BbgxtEqGwVH+Cp69VEG3wZQ4TUirRobJHsbFYjZYO0eQ2bxET6clcWdwMN/vGToNsOfZjN9bAHDBq2t/QvXw==" saltValue="/Yybc9eRKWhnm1gzXp3KYg==" spinCount="100000" sheet="1" objects="1" scenarios="1"/>
  <mergeCells count="6">
    <mergeCell ref="C6:N6"/>
    <mergeCell ref="F11:J11"/>
    <mergeCell ref="F12:J12"/>
    <mergeCell ref="F8:J8"/>
    <mergeCell ref="F9:J9"/>
    <mergeCell ref="F10:J1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8">
    <pageSetUpPr fitToPage="1"/>
  </sheetPr>
  <dimension ref="A1:Z6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1978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164" customFormat="1" ht="15" customHeight="1" x14ac:dyDescent="0.25">
      <c r="C10" s="309"/>
      <c r="D10" s="309"/>
      <c r="E10" s="309"/>
      <c r="F10" s="309"/>
      <c r="G10" s="309"/>
    </row>
    <row r="11" spans="1:16" ht="15" customHeight="1" x14ac:dyDescent="0.2">
      <c r="D11" s="281" t="s">
        <v>671</v>
      </c>
      <c r="G11" s="9">
        <v>8</v>
      </c>
      <c r="H11" s="265" t="s">
        <v>352</v>
      </c>
      <c r="I11" s="9">
        <v>3</v>
      </c>
      <c r="J11" s="265" t="s">
        <v>672</v>
      </c>
      <c r="K11" s="310">
        <f>10000/(G11*I11)</f>
        <v>416.66666666666669</v>
      </c>
      <c r="L11" s="281" t="s">
        <v>353</v>
      </c>
      <c r="M11" s="281"/>
    </row>
    <row r="12" spans="1:16" s="164" customFormat="1" ht="15" customHeight="1" x14ac:dyDescent="0.25">
      <c r="C12" s="309"/>
      <c r="D12" s="309"/>
      <c r="E12" s="309"/>
      <c r="F12" s="309"/>
      <c r="G12" s="309"/>
    </row>
    <row r="13" spans="1:16" s="34" customFormat="1" ht="15" customHeight="1" x14ac:dyDescent="0.25">
      <c r="D13" s="164" t="s">
        <v>1858</v>
      </c>
    </row>
    <row r="14" spans="1:16" ht="15" customHeight="1" x14ac:dyDescent="0.2"/>
    <row r="15" spans="1:16" ht="15" customHeight="1" x14ac:dyDescent="0.2">
      <c r="D15" s="298" t="s">
        <v>338</v>
      </c>
      <c r="G15" s="9">
        <v>90</v>
      </c>
      <c r="H15" s="49" t="s">
        <v>1933</v>
      </c>
    </row>
    <row r="16" spans="1:16" ht="15" customHeight="1" x14ac:dyDescent="0.2"/>
    <row r="17" spans="2:26" ht="15" customHeight="1" x14ac:dyDescent="0.2">
      <c r="G17" s="316" t="s">
        <v>2044</v>
      </c>
      <c r="H17" s="316" t="s">
        <v>2043</v>
      </c>
      <c r="I17" s="257" t="str">
        <f>IF(G15&lt;60,"20-00-20",IF(AND(G15&gt;=60,G15&lt;120),"20-00-15",IF(AND(G15&gt;=120,G15&lt;220),"20-00-10","Sulfato de Amônio")))</f>
        <v>20-00-15</v>
      </c>
    </row>
    <row r="18" spans="2:26" ht="15" customHeight="1" x14ac:dyDescent="0.2">
      <c r="G18" s="316" t="s">
        <v>2046</v>
      </c>
      <c r="H18" s="316" t="s">
        <v>2045</v>
      </c>
      <c r="I18" s="257" t="str">
        <f>I17</f>
        <v>20-00-15</v>
      </c>
    </row>
    <row r="19" spans="2:26" ht="15" customHeight="1" x14ac:dyDescent="0.2">
      <c r="B19" s="266" t="s">
        <v>390</v>
      </c>
      <c r="G19" s="316" t="s">
        <v>2048</v>
      </c>
      <c r="H19" s="316" t="s">
        <v>2047</v>
      </c>
      <c r="I19" s="257" t="str">
        <f>I17</f>
        <v>20-00-15</v>
      </c>
    </row>
    <row r="20" spans="2:26" ht="15" customHeight="1" x14ac:dyDescent="0.2"/>
    <row r="21" spans="2:26" s="34" customFormat="1" ht="15" customHeight="1" x14ac:dyDescent="0.25">
      <c r="D21" s="164" t="s">
        <v>2049</v>
      </c>
    </row>
    <row r="22" spans="2:26" ht="15" customHeight="1" x14ac:dyDescent="0.2">
      <c r="D22" s="49"/>
      <c r="E22" s="49"/>
      <c r="F22" s="49"/>
      <c r="G22" s="49"/>
      <c r="H22" s="49"/>
      <c r="I22" s="49"/>
      <c r="J22" s="49"/>
      <c r="K22" s="49"/>
      <c r="L22" s="49"/>
    </row>
    <row r="23" spans="2:26" s="60" customFormat="1" ht="15" customHeight="1" x14ac:dyDescent="0.2">
      <c r="D23" s="170" t="s">
        <v>338</v>
      </c>
      <c r="E23" s="298"/>
      <c r="F23" s="298"/>
      <c r="G23" s="9">
        <v>5</v>
      </c>
      <c r="H23" s="49" t="s">
        <v>1953</v>
      </c>
      <c r="I23" s="49"/>
      <c r="J23" s="49"/>
      <c r="K23" s="49"/>
      <c r="L23" s="49"/>
      <c r="M23" s="266"/>
      <c r="N23" s="266"/>
    </row>
    <row r="24" spans="2:26" s="60" customFormat="1" ht="15" customHeight="1" x14ac:dyDescent="0.2">
      <c r="D24" s="49"/>
      <c r="E24" s="298"/>
      <c r="F24" s="298"/>
      <c r="G24" s="9">
        <v>90</v>
      </c>
      <c r="H24" s="49" t="s">
        <v>1933</v>
      </c>
      <c r="I24" s="49"/>
      <c r="J24" s="49"/>
      <c r="K24" s="49"/>
      <c r="L24" s="49"/>
      <c r="N24" s="266"/>
      <c r="O24" s="266"/>
    </row>
    <row r="25" spans="2:26" s="60" customFormat="1" ht="15" customHeight="1" x14ac:dyDescent="0.2">
      <c r="D25" s="49"/>
      <c r="E25" s="49"/>
      <c r="F25" s="49"/>
      <c r="G25" s="49"/>
      <c r="H25" s="49"/>
      <c r="I25" s="49"/>
      <c r="J25" s="49"/>
      <c r="K25" s="49"/>
      <c r="L25" s="49"/>
      <c r="N25" s="266"/>
      <c r="O25" s="266"/>
    </row>
    <row r="26" spans="2:26" s="60" customFormat="1" ht="15" customHeight="1" x14ac:dyDescent="0.2">
      <c r="D26" s="298"/>
      <c r="E26" s="298"/>
      <c r="F26" s="316" t="s">
        <v>392</v>
      </c>
      <c r="G26" s="224">
        <f>1000*(W26*5)/K11</f>
        <v>480</v>
      </c>
      <c r="H26" s="273" t="s">
        <v>1304</v>
      </c>
      <c r="I26" s="169"/>
      <c r="J26" s="49"/>
      <c r="K26" s="49"/>
      <c r="L26" s="49"/>
      <c r="W26" s="279" t="str">
        <f>IF(G23&lt;10,"40",IF(AND(G23&gt;=10,G23&lt;30),"20",0))</f>
        <v>40</v>
      </c>
      <c r="X26" s="296" t="s">
        <v>344</v>
      </c>
      <c r="Y26" s="296"/>
      <c r="Z26" s="296"/>
    </row>
    <row r="27" spans="2:26" s="60" customFormat="1" ht="15" customHeight="1" x14ac:dyDescent="0.2">
      <c r="D27" s="298"/>
      <c r="E27" s="298"/>
      <c r="F27" s="317" t="s">
        <v>1139</v>
      </c>
      <c r="G27" s="276">
        <f>(1000*(W27*5)/K11)/3</f>
        <v>160</v>
      </c>
      <c r="H27" s="292" t="s">
        <v>558</v>
      </c>
      <c r="I27" s="222" t="str">
        <f>IF(G24&lt;60,"20-00-20",IF(AND(G24&gt;=60,G24&lt;120),"20-00-15",IF(AND(G24&gt;=120,G24&lt;220),"20-00-10","Sulfato de Amônio")))</f>
        <v>20-00-15</v>
      </c>
      <c r="J27" s="49"/>
      <c r="K27" s="49"/>
      <c r="L27" s="49"/>
      <c r="W27" s="208">
        <v>40</v>
      </c>
      <c r="X27" s="296" t="s">
        <v>343</v>
      </c>
      <c r="Y27" s="296"/>
      <c r="Z27" s="296"/>
    </row>
    <row r="28" spans="2:26" s="60" customFormat="1" ht="15" customHeight="1" x14ac:dyDescent="0.2">
      <c r="C28" s="275"/>
      <c r="D28" s="276"/>
      <c r="E28" s="280"/>
      <c r="F28" s="277"/>
      <c r="G28" s="266"/>
      <c r="H28" s="266"/>
      <c r="I28" s="266"/>
      <c r="J28" s="266"/>
      <c r="K28" s="266"/>
      <c r="L28" s="266"/>
      <c r="W28" s="208"/>
      <c r="X28" s="296"/>
      <c r="Y28" s="296"/>
      <c r="Z28" s="296"/>
    </row>
    <row r="29" spans="2:26" s="313" customFormat="1" ht="15" customHeight="1" x14ac:dyDescent="0.25">
      <c r="D29" s="282" t="s">
        <v>1941</v>
      </c>
      <c r="E29" s="314"/>
      <c r="F29" s="314"/>
      <c r="G29" s="314"/>
      <c r="W29" s="314"/>
      <c r="X29" s="314"/>
      <c r="Y29" s="314"/>
      <c r="Z29" s="314"/>
    </row>
    <row r="30" spans="2:26" s="281" customFormat="1" ht="15" customHeight="1" x14ac:dyDescent="0.2">
      <c r="C30" s="275"/>
      <c r="D30" s="283"/>
      <c r="E30" s="283"/>
      <c r="F30" s="283"/>
      <c r="G30" s="283"/>
      <c r="Z30" s="283"/>
    </row>
    <row r="31" spans="2:26" ht="15" customHeight="1" x14ac:dyDescent="0.2">
      <c r="D31" s="298" t="s">
        <v>1703</v>
      </c>
      <c r="G31" s="237">
        <v>30</v>
      </c>
      <c r="H31" s="273" t="s">
        <v>1929</v>
      </c>
      <c r="I31" s="170"/>
      <c r="J31" s="273"/>
      <c r="K31" s="283"/>
      <c r="L31" s="263"/>
      <c r="Z31" s="27"/>
    </row>
    <row r="32" spans="2:26" ht="15" customHeight="1" x14ac:dyDescent="0.2">
      <c r="D32" s="281"/>
      <c r="G32" s="5">
        <v>10</v>
      </c>
      <c r="H32" s="273" t="s">
        <v>1934</v>
      </c>
      <c r="I32" s="170"/>
      <c r="J32" s="171"/>
      <c r="K32" s="272"/>
      <c r="L32" s="272"/>
      <c r="N32" s="289"/>
      <c r="O32" s="27"/>
      <c r="P32" s="27"/>
    </row>
    <row r="33" spans="2:25" ht="15" customHeight="1" x14ac:dyDescent="0.2">
      <c r="I33" s="170"/>
      <c r="J33" s="273"/>
      <c r="K33" s="283"/>
      <c r="L33" s="263"/>
      <c r="N33" s="220"/>
      <c r="O33" s="283"/>
      <c r="P33" s="27"/>
    </row>
    <row r="34" spans="2:25" ht="15" customHeight="1" x14ac:dyDescent="0.2">
      <c r="C34" s="281"/>
      <c r="D34" s="273" t="s">
        <v>340</v>
      </c>
      <c r="G34" s="237">
        <v>90</v>
      </c>
      <c r="H34" s="273" t="s">
        <v>341</v>
      </c>
      <c r="I34" s="273"/>
      <c r="J34" s="273"/>
      <c r="K34" s="283"/>
      <c r="L34" s="263"/>
      <c r="N34" s="283"/>
      <c r="O34" s="283"/>
    </row>
    <row r="35" spans="2:25" ht="15" customHeight="1" x14ac:dyDescent="0.2">
      <c r="C35" s="281"/>
      <c r="D35" s="281"/>
      <c r="E35" s="281"/>
      <c r="F35" s="281"/>
      <c r="G35" s="275"/>
      <c r="H35" s="281"/>
      <c r="I35" s="281"/>
      <c r="J35" s="281"/>
      <c r="K35" s="281"/>
      <c r="L35" s="281"/>
      <c r="N35" s="281"/>
      <c r="O35" s="281"/>
      <c r="V35" s="170"/>
      <c r="W35" s="273"/>
      <c r="X35" s="273"/>
      <c r="Y35" s="273"/>
    </row>
    <row r="36" spans="2:25" ht="15" customHeight="1" x14ac:dyDescent="0.2">
      <c r="D36" s="273" t="s">
        <v>1708</v>
      </c>
      <c r="G36" s="286">
        <f>IF(W36&gt;0,W36,0)</f>
        <v>3.3333333333333335</v>
      </c>
      <c r="H36" s="273" t="s">
        <v>2050</v>
      </c>
      <c r="I36" s="170"/>
      <c r="J36" s="170"/>
      <c r="K36" s="170"/>
      <c r="L36" s="281"/>
      <c r="M36" s="281"/>
      <c r="N36" s="281"/>
      <c r="V36" s="49"/>
      <c r="W36" s="315">
        <f xml:space="preserve"> G32*(60-G31)/G34</f>
        <v>3.3333333333333335</v>
      </c>
      <c r="X36" s="26" t="s">
        <v>349</v>
      </c>
      <c r="Y36" s="26"/>
    </row>
    <row r="37" spans="2:25" s="281" customFormat="1" ht="15" customHeight="1" x14ac:dyDescent="0.2">
      <c r="C37" s="275"/>
      <c r="D37" s="283"/>
      <c r="E37" s="220"/>
      <c r="F37" s="280"/>
      <c r="V37" s="49"/>
      <c r="W37" s="49"/>
      <c r="X37" s="49"/>
      <c r="Y37" s="49"/>
    </row>
    <row r="38" spans="2:25" s="281" customFormat="1" ht="15" customHeight="1" x14ac:dyDescent="0.2">
      <c r="C38" s="275"/>
      <c r="D38" s="275"/>
    </row>
    <row r="39" spans="2:25" s="281" customFormat="1" ht="15" customHeight="1" x14ac:dyDescent="0.2">
      <c r="C39" s="275"/>
      <c r="D39" s="275"/>
    </row>
    <row r="40" spans="2:25" s="281" customFormat="1" ht="15" customHeight="1" x14ac:dyDescent="0.2">
      <c r="C40" s="275"/>
      <c r="D40" s="275"/>
    </row>
    <row r="41" spans="2:25" s="281" customFormat="1" ht="15" customHeight="1" x14ac:dyDescent="0.2">
      <c r="C41" s="275"/>
      <c r="D41" s="275"/>
    </row>
    <row r="42" spans="2:25" s="281" customFormat="1" ht="15" customHeight="1" x14ac:dyDescent="0.2">
      <c r="C42" s="267"/>
      <c r="D42" s="267"/>
      <c r="E42" s="267"/>
      <c r="F42" s="267"/>
      <c r="G42" s="267"/>
      <c r="H42" s="267"/>
      <c r="I42" s="267"/>
      <c r="J42" s="267"/>
      <c r="K42" s="267"/>
      <c r="L42" s="267"/>
    </row>
    <row r="43" spans="2:25" s="60" customFormat="1" ht="15" customHeight="1" x14ac:dyDescent="0.2">
      <c r="C43" s="267"/>
      <c r="D43" s="267"/>
    </row>
    <row r="44" spans="2:25" s="60" customFormat="1" ht="15" customHeight="1" x14ac:dyDescent="0.2">
      <c r="C44" s="267"/>
      <c r="D44" s="267"/>
    </row>
    <row r="45" spans="2:25" s="60" customFormat="1" ht="15" customHeight="1" x14ac:dyDescent="0.2">
      <c r="C45" s="226" t="s">
        <v>891</v>
      </c>
      <c r="D45" s="771">
        <f ca="1">TODAY()</f>
        <v>45064</v>
      </c>
      <c r="E45" s="772"/>
      <c r="F45" s="60" t="s">
        <v>373</v>
      </c>
    </row>
    <row r="46" spans="2:25" s="60" customFormat="1" ht="15" customHeight="1" x14ac:dyDescent="0.2">
      <c r="C46" s="267"/>
    </row>
    <row r="47" spans="2:25" s="60" customFormat="1" ht="15" hidden="1" customHeight="1" x14ac:dyDescent="0.2">
      <c r="C47" s="267"/>
    </row>
    <row r="48" spans="2:25" s="60" customFormat="1" ht="15" hidden="1" customHeight="1" x14ac:dyDescent="0.2">
      <c r="B48" s="267"/>
      <c r="K48" s="266"/>
    </row>
    <row r="49" spans="2:3" s="60" customFormat="1" ht="15" hidden="1" customHeight="1" x14ac:dyDescent="0.2">
      <c r="B49" s="267"/>
    </row>
    <row r="50" spans="2:3" s="60" customFormat="1" ht="15" hidden="1" customHeight="1" x14ac:dyDescent="0.2">
      <c r="B50" s="267"/>
    </row>
    <row r="51" spans="2:3" ht="15" hidden="1" customHeight="1" x14ac:dyDescent="0.2"/>
    <row r="52" spans="2:3" s="60" customFormat="1" ht="15" hidden="1" customHeight="1" x14ac:dyDescent="0.2">
      <c r="B52" s="267"/>
      <c r="C52" s="267"/>
    </row>
    <row r="53" spans="2:3" s="60" customFormat="1" ht="15" hidden="1" customHeight="1" x14ac:dyDescent="0.2">
      <c r="B53" s="267"/>
      <c r="C53" s="267"/>
    </row>
    <row r="54" spans="2:3" s="60" customFormat="1" ht="15" hidden="1" customHeight="1" x14ac:dyDescent="0.2">
      <c r="B54" s="267"/>
      <c r="C54" s="267"/>
    </row>
    <row r="55" spans="2:3" s="60" customFormat="1" ht="15" hidden="1" customHeight="1" x14ac:dyDescent="0.2">
      <c r="B55" s="267"/>
      <c r="C55" s="267"/>
    </row>
    <row r="56" spans="2:3" s="60" customFormat="1" ht="15" hidden="1" customHeight="1" x14ac:dyDescent="0.2">
      <c r="B56" s="267"/>
      <c r="C56" s="267"/>
    </row>
    <row r="57" spans="2:3" s="60" customFormat="1" ht="15" hidden="1" customHeight="1" x14ac:dyDescent="0.2">
      <c r="B57" s="267"/>
      <c r="C57" s="267"/>
    </row>
    <row r="58" spans="2:3" s="60" customFormat="1" ht="15" hidden="1" customHeight="1" x14ac:dyDescent="0.2">
      <c r="B58" s="267"/>
      <c r="C58" s="267"/>
    </row>
    <row r="59" spans="2:3" s="60" customFormat="1" ht="15" hidden="1" customHeight="1" x14ac:dyDescent="0.2">
      <c r="B59" s="267"/>
      <c r="C59" s="267"/>
    </row>
    <row r="60" spans="2:3" s="60" customFormat="1" ht="15" hidden="1" customHeight="1" x14ac:dyDescent="0.2">
      <c r="B60" s="267"/>
      <c r="C60" s="267"/>
    </row>
    <row r="61" spans="2:3" ht="15" hidden="1" customHeight="1" x14ac:dyDescent="0.2"/>
    <row r="62" spans="2:3" ht="15" hidden="1" customHeight="1" x14ac:dyDescent="0.2"/>
    <row r="63" spans="2:3" ht="15" hidden="1" customHeight="1" x14ac:dyDescent="0.2"/>
    <row r="64" spans="2:3" ht="15" hidden="1" customHeight="1" x14ac:dyDescent="0.2"/>
    <row r="65" ht="15" hidden="1" customHeight="1" x14ac:dyDescent="0.2"/>
  </sheetData>
  <sheetProtection algorithmName="SHA-512" hashValue="7ImYpsmPS/nzWHBjTt+unwWfaWoc7Q5OocLmqBxe3cYmCP0YXd53ICfv3WtbJ1TK/0Skwpcuu1kPFa+A08os9Q==" saltValue="UgCkchWBNAzHvKjjhL/mkg==" spinCount="100000" sheet="1" objects="1" scenarios="1" selectLockedCells="1"/>
  <mergeCells count="3">
    <mergeCell ref="D45:E45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pageSetUpPr fitToPage="1"/>
  </sheetPr>
  <dimension ref="A1:Z60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A6" s="265"/>
      <c r="B6" s="323"/>
      <c r="C6" s="688" t="s">
        <v>1836</v>
      </c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7" spans="1:16" ht="15" customHeight="1" x14ac:dyDescent="0.25">
      <c r="B7" s="291"/>
      <c r="C7" s="713" t="s">
        <v>959</v>
      </c>
      <c r="D7" s="713"/>
      <c r="E7" s="713"/>
      <c r="F7" s="713"/>
      <c r="G7" s="713"/>
      <c r="H7" s="713"/>
      <c r="I7" s="713"/>
      <c r="J7" s="713"/>
      <c r="K7" s="713"/>
      <c r="L7" s="713"/>
      <c r="M7" s="713"/>
    </row>
    <row r="8" spans="1:16" ht="15" customHeight="1" x14ac:dyDescent="0.2">
      <c r="D8" s="49"/>
    </row>
    <row r="9" spans="1:16" ht="15" customHeight="1" x14ac:dyDescent="0.2">
      <c r="D9" s="391" t="s">
        <v>1313</v>
      </c>
      <c r="E9" s="696"/>
      <c r="F9" s="696"/>
      <c r="G9" s="696"/>
      <c r="H9" s="696"/>
      <c r="I9" s="696"/>
      <c r="J9" s="696"/>
      <c r="K9" s="696"/>
      <c r="L9" s="696"/>
      <c r="M9" s="696"/>
    </row>
    <row r="10" spans="1:16" ht="15" customHeight="1" x14ac:dyDescent="0.2">
      <c r="D10" s="391" t="s">
        <v>832</v>
      </c>
      <c r="E10" s="696"/>
      <c r="F10" s="696"/>
      <c r="G10" s="696"/>
      <c r="H10" s="696"/>
      <c r="I10" s="696"/>
      <c r="J10" s="696"/>
      <c r="K10" s="696"/>
      <c r="L10" s="696"/>
      <c r="M10" s="696"/>
    </row>
    <row r="11" spans="1:16" ht="15" customHeight="1" x14ac:dyDescent="0.2"/>
    <row r="12" spans="1:16" ht="15" customHeight="1" x14ac:dyDescent="0.2">
      <c r="D12" s="266" t="s">
        <v>1153</v>
      </c>
      <c r="F12" s="265" t="s">
        <v>1138</v>
      </c>
      <c r="G12" s="237">
        <v>20</v>
      </c>
      <c r="H12" s="49" t="s">
        <v>278</v>
      </c>
    </row>
    <row r="13" spans="1:16" ht="15" customHeight="1" x14ac:dyDescent="0.2">
      <c r="F13" s="265" t="s">
        <v>1125</v>
      </c>
      <c r="G13" s="237">
        <v>80</v>
      </c>
      <c r="H13" s="49" t="s">
        <v>278</v>
      </c>
    </row>
    <row r="14" spans="1:16" ht="15" customHeight="1" x14ac:dyDescent="0.2">
      <c r="F14" s="265" t="s">
        <v>1124</v>
      </c>
      <c r="G14" s="237">
        <v>1.3</v>
      </c>
      <c r="H14" s="49" t="s">
        <v>2282</v>
      </c>
    </row>
    <row r="15" spans="1:16" ht="15" customHeight="1" x14ac:dyDescent="0.2">
      <c r="F15" s="265" t="s">
        <v>1123</v>
      </c>
      <c r="G15" s="237">
        <v>0.9</v>
      </c>
      <c r="H15" s="49" t="s">
        <v>2282</v>
      </c>
    </row>
    <row r="16" spans="1:16" ht="15" customHeight="1" x14ac:dyDescent="0.2">
      <c r="F16" s="265" t="s">
        <v>718</v>
      </c>
      <c r="G16" s="237">
        <v>2</v>
      </c>
      <c r="H16" s="49" t="s">
        <v>1122</v>
      </c>
    </row>
    <row r="17" spans="4:26" ht="15" customHeight="1" x14ac:dyDescent="0.2">
      <c r="F17" s="265" t="s">
        <v>293</v>
      </c>
      <c r="G17" s="237">
        <v>8</v>
      </c>
      <c r="H17" s="49" t="s">
        <v>2282</v>
      </c>
    </row>
    <row r="18" spans="4:26" ht="15" customHeight="1" x14ac:dyDescent="0.2">
      <c r="F18" s="265" t="s">
        <v>296</v>
      </c>
      <c r="G18" s="237">
        <v>40</v>
      </c>
      <c r="H18" s="49" t="s">
        <v>341</v>
      </c>
    </row>
    <row r="19" spans="4:26" ht="15" customHeight="1" x14ac:dyDescent="0.2">
      <c r="F19" s="265"/>
      <c r="G19" s="263"/>
      <c r="H19" s="49"/>
    </row>
    <row r="20" spans="4:26" ht="15" customHeight="1" x14ac:dyDescent="0.2">
      <c r="D20" s="266" t="s">
        <v>1156</v>
      </c>
      <c r="G20" s="237">
        <v>90</v>
      </c>
      <c r="H20" s="49" t="s">
        <v>341</v>
      </c>
      <c r="W20" s="266" t="s">
        <v>290</v>
      </c>
      <c r="Y20" s="310">
        <f>(2000000*(G16/100))*0.05*0.03</f>
        <v>60</v>
      </c>
      <c r="Z20" s="266" t="s">
        <v>343</v>
      </c>
    </row>
    <row r="21" spans="4:26" ht="15" customHeight="1" x14ac:dyDescent="0.2">
      <c r="G21" s="265"/>
      <c r="Y21" s="308"/>
    </row>
    <row r="22" spans="4:26" ht="15" customHeight="1" x14ac:dyDescent="0.2">
      <c r="D22" s="49" t="s">
        <v>1828</v>
      </c>
      <c r="W22" s="266" t="s">
        <v>397</v>
      </c>
      <c r="Y22" s="310">
        <f>((((H30-Y20))*100)/(0.6*G24))</f>
        <v>15555.555555555557</v>
      </c>
      <c r="Z22" s="266" t="s">
        <v>398</v>
      </c>
    </row>
    <row r="23" spans="4:26" ht="15" customHeight="1" x14ac:dyDescent="0.2">
      <c r="W23" s="266" t="s">
        <v>1157</v>
      </c>
      <c r="Y23" s="310">
        <f>IF(Y22&gt;=5000,Y22,5000)</f>
        <v>15555.555555555557</v>
      </c>
    </row>
    <row r="24" spans="4:26" ht="15" customHeight="1" x14ac:dyDescent="0.2">
      <c r="F24" s="265" t="s">
        <v>385</v>
      </c>
      <c r="G24" s="237">
        <v>1.5</v>
      </c>
      <c r="H24" s="49" t="s">
        <v>1122</v>
      </c>
      <c r="L24" s="281"/>
      <c r="W24" s="266" t="s">
        <v>397</v>
      </c>
      <c r="Y24" s="310">
        <f>100*(Y23/(100-G28))</f>
        <v>31111.111111111113</v>
      </c>
      <c r="Z24" s="266" t="s">
        <v>399</v>
      </c>
    </row>
    <row r="25" spans="4:26" ht="15" customHeight="1" x14ac:dyDescent="0.2">
      <c r="F25" s="265" t="s">
        <v>1138</v>
      </c>
      <c r="G25" s="237">
        <v>0.9</v>
      </c>
      <c r="H25" s="49" t="s">
        <v>1122</v>
      </c>
      <c r="K25" s="706" t="str">
        <f>HYPERLINK("#"&amp;"'FertiOrg'!H1","TABELA - Fertilizantes Orgânicos")</f>
        <v>TABELA - Fertilizantes Orgânicos</v>
      </c>
      <c r="L25" s="706"/>
      <c r="M25" s="706"/>
      <c r="N25" s="706"/>
      <c r="W25" s="266" t="s">
        <v>1034</v>
      </c>
      <c r="Y25" s="209">
        <f>(Y24/F33)</f>
        <v>1.4933333333333332</v>
      </c>
      <c r="Z25" s="266" t="s">
        <v>1035</v>
      </c>
    </row>
    <row r="26" spans="4:26" ht="15" customHeight="1" x14ac:dyDescent="0.2">
      <c r="F26" s="265" t="s">
        <v>1125</v>
      </c>
      <c r="G26" s="237">
        <v>1</v>
      </c>
      <c r="H26" s="49" t="s">
        <v>1122</v>
      </c>
      <c r="L26" s="281"/>
    </row>
    <row r="27" spans="4:26" ht="15" customHeight="1" x14ac:dyDescent="0.2">
      <c r="F27" s="265"/>
      <c r="G27" s="263"/>
      <c r="H27" s="49"/>
      <c r="L27" s="281"/>
    </row>
    <row r="28" spans="4:26" ht="15" customHeight="1" x14ac:dyDescent="0.2">
      <c r="E28" s="281" t="s">
        <v>401</v>
      </c>
      <c r="G28" s="237">
        <v>50</v>
      </c>
      <c r="H28" s="49" t="s">
        <v>341</v>
      </c>
      <c r="L28" s="281"/>
    </row>
    <row r="29" spans="4:26" ht="15" customHeight="1" x14ac:dyDescent="0.2">
      <c r="W29" s="266" t="s">
        <v>291</v>
      </c>
    </row>
    <row r="30" spans="4:26" ht="15" customHeight="1" x14ac:dyDescent="0.2">
      <c r="D30" s="266" t="s">
        <v>1154</v>
      </c>
      <c r="H30" s="237">
        <v>200</v>
      </c>
      <c r="I30" s="49" t="s">
        <v>445</v>
      </c>
      <c r="K30" s="706" t="str">
        <f>HYPERLINK("#"&amp;"'ExigenciaN'!H1","TABELA - Exigência de Nitrogênio")</f>
        <v>TABELA - Exigência de Nitrogênio</v>
      </c>
      <c r="L30" s="706"/>
      <c r="M30" s="706"/>
      <c r="N30" s="706"/>
      <c r="X30" s="265" t="s">
        <v>678</v>
      </c>
      <c r="Y30" s="310">
        <f>(((Y23*G25)/100)*2.3)*0.5</f>
        <v>161.00000000000003</v>
      </c>
    </row>
    <row r="31" spans="4:26" ht="15" customHeight="1" x14ac:dyDescent="0.2">
      <c r="I31" s="49"/>
      <c r="L31" s="281"/>
      <c r="X31" s="265" t="s">
        <v>757</v>
      </c>
      <c r="Y31" s="310">
        <f>(((Y22*G26)/100)*1.2)*0.7</f>
        <v>130.66666666666669</v>
      </c>
    </row>
    <row r="32" spans="4:26" ht="15" customHeight="1" x14ac:dyDescent="0.2">
      <c r="D32" s="46" t="s">
        <v>1155</v>
      </c>
      <c r="F32" s="237">
        <v>1.2</v>
      </c>
      <c r="G32" s="265" t="s">
        <v>352</v>
      </c>
      <c r="H32" s="237">
        <v>0.4</v>
      </c>
      <c r="I32" s="49" t="s">
        <v>337</v>
      </c>
      <c r="K32" s="706" t="str">
        <f>HYPERLINK("#"&amp;"'EspacamentoOrg'!H1","TABELA - Espaçamento Recomendado")</f>
        <v>TABELA - Espaçamento Recomendado</v>
      </c>
      <c r="L32" s="706"/>
      <c r="M32" s="706"/>
      <c r="N32" s="706"/>
    </row>
    <row r="33" spans="3:26" ht="15" customHeight="1" x14ac:dyDescent="0.25">
      <c r="D33" s="47"/>
      <c r="F33" s="482">
        <f>10000/(F32*H32)</f>
        <v>20833.333333333336</v>
      </c>
      <c r="G33" s="49" t="s">
        <v>353</v>
      </c>
      <c r="H33" s="263"/>
      <c r="J33" s="405"/>
    </row>
    <row r="34" spans="3:26" ht="15" customHeight="1" x14ac:dyDescent="0.25">
      <c r="D34" s="47"/>
      <c r="F34" s="482"/>
      <c r="H34" s="263"/>
      <c r="J34" s="405"/>
    </row>
    <row r="35" spans="3:26" ht="15" customHeight="1" x14ac:dyDescent="0.25">
      <c r="D35" s="164" t="s">
        <v>1036</v>
      </c>
      <c r="F35" s="263"/>
      <c r="G35" s="265"/>
      <c r="H35" s="263"/>
      <c r="J35" s="405"/>
      <c r="K35" s="405"/>
    </row>
    <row r="36" spans="3:26" ht="15" customHeight="1" x14ac:dyDescent="0.25">
      <c r="E36" s="406" t="s">
        <v>573</v>
      </c>
      <c r="F36" s="286">
        <f>IF(Y36&gt;0,Y36,0)</f>
        <v>2.6666666666666665</v>
      </c>
      <c r="G36" s="266" t="s">
        <v>1147</v>
      </c>
      <c r="X36" s="266" t="s">
        <v>25</v>
      </c>
      <c r="Y36" s="396">
        <f>G17*(70-G18)/G20</f>
        <v>2.6666666666666665</v>
      </c>
      <c r="Z36" s="266" t="s">
        <v>349</v>
      </c>
    </row>
    <row r="37" spans="3:26" ht="15" customHeight="1" x14ac:dyDescent="0.2">
      <c r="Y37" s="396"/>
    </row>
    <row r="38" spans="3:26" ht="15" customHeight="1" x14ac:dyDescent="0.25">
      <c r="E38" s="164" t="s">
        <v>1652</v>
      </c>
      <c r="W38" s="266" t="s">
        <v>1</v>
      </c>
      <c r="Y38" s="265" t="str">
        <f>IF(G12&lt;50,"400",IF(AND(G12&gt;=50,G12&lt;100),"300",IF(AND(G12&gt;=100,G12&lt;200),"200",0)))</f>
        <v>400</v>
      </c>
      <c r="Z38" s="266" t="s">
        <v>1010</v>
      </c>
    </row>
    <row r="39" spans="3:26" ht="15" customHeight="1" x14ac:dyDescent="0.2">
      <c r="E39" s="220">
        <f>IF(Y25&gt;=0,Y25,0)</f>
        <v>1.4933333333333332</v>
      </c>
      <c r="F39" s="266" t="s">
        <v>1151</v>
      </c>
      <c r="W39" s="266" t="s">
        <v>2</v>
      </c>
      <c r="Y39" s="310">
        <f>Y38-Y30</f>
        <v>238.99999999999997</v>
      </c>
      <c r="Z39" s="266" t="s">
        <v>6</v>
      </c>
    </row>
    <row r="40" spans="3:26" ht="15" customHeight="1" x14ac:dyDescent="0.2">
      <c r="E40" s="224">
        <f>(Y42/F33)*1000</f>
        <v>57.359999999999978</v>
      </c>
      <c r="F40" s="266" t="s">
        <v>400</v>
      </c>
      <c r="I40" s="257"/>
      <c r="W40" s="266" t="s">
        <v>0</v>
      </c>
      <c r="Y40" s="310">
        <f>(Y39*5)</f>
        <v>1194.9999999999998</v>
      </c>
      <c r="Z40" s="266" t="s">
        <v>7</v>
      </c>
    </row>
    <row r="41" spans="3:26" ht="15" customHeight="1" x14ac:dyDescent="0.2">
      <c r="E41" s="224"/>
    </row>
    <row r="42" spans="3:26" ht="15" customHeight="1" x14ac:dyDescent="0.25">
      <c r="E42" s="164" t="s">
        <v>1653</v>
      </c>
      <c r="W42" s="266" t="s">
        <v>3</v>
      </c>
      <c r="Y42" s="310">
        <f>IF(Y40&gt;0,Y40,0)</f>
        <v>1194.9999999999998</v>
      </c>
      <c r="Z42" s="266" t="s">
        <v>7</v>
      </c>
    </row>
    <row r="43" spans="3:26" ht="15" customHeight="1" x14ac:dyDescent="0.2">
      <c r="E43" s="276">
        <v>200</v>
      </c>
      <c r="F43" s="49" t="s">
        <v>1837</v>
      </c>
      <c r="W43" s="266" t="s">
        <v>4</v>
      </c>
      <c r="Y43" s="265">
        <f>IF(G13&lt;80,200,IF(AND(G13&gt;=80,G13&lt;150),150,IF(AND(G13&gt;=150,G13&lt;200),100,IF(AND(G13&gt;=200,G13&lt;280),80,0))))</f>
        <v>150</v>
      </c>
      <c r="Z43" s="266" t="s">
        <v>1150</v>
      </c>
    </row>
    <row r="44" spans="3:26" ht="15" customHeight="1" x14ac:dyDescent="0.2">
      <c r="E44" s="224"/>
      <c r="F44" s="49" t="s">
        <v>1839</v>
      </c>
      <c r="W44" s="266" t="s">
        <v>5</v>
      </c>
      <c r="Y44" s="310">
        <f>Y43-Y31</f>
        <v>19.333333333333314</v>
      </c>
      <c r="Z44" s="266" t="s">
        <v>1158</v>
      </c>
    </row>
    <row r="45" spans="3:26" ht="15" customHeight="1" x14ac:dyDescent="0.2">
      <c r="F45" s="49" t="s">
        <v>1838</v>
      </c>
      <c r="W45" s="266" t="s">
        <v>9</v>
      </c>
      <c r="Y45" s="310">
        <f>IF(Y44&gt;0,Y44,0)</f>
        <v>19.333333333333314</v>
      </c>
      <c r="Z45" s="266" t="s">
        <v>8</v>
      </c>
    </row>
    <row r="46" spans="3:26" ht="15" customHeight="1" x14ac:dyDescent="0.2"/>
    <row r="47" spans="3:26" ht="15" customHeight="1" x14ac:dyDescent="0.2"/>
    <row r="48" spans="3:26" ht="15" customHeight="1" x14ac:dyDescent="0.2">
      <c r="C48" s="266" t="s">
        <v>213</v>
      </c>
    </row>
    <row r="49" spans="4:12" ht="15" customHeight="1" x14ac:dyDescent="0.2"/>
    <row r="50" spans="4:12" ht="15" customHeight="1" x14ac:dyDescent="0.2"/>
    <row r="51" spans="4:12" ht="15" customHeight="1" x14ac:dyDescent="0.2"/>
    <row r="52" spans="4:12" ht="15" customHeight="1" x14ac:dyDescent="0.2"/>
    <row r="53" spans="4:12" ht="15" customHeight="1" x14ac:dyDescent="0.2"/>
    <row r="54" spans="4:12" ht="15" customHeight="1" x14ac:dyDescent="0.2"/>
    <row r="55" spans="4:12" ht="15" customHeight="1" x14ac:dyDescent="0.2"/>
    <row r="56" spans="4:12" ht="15" customHeight="1" x14ac:dyDescent="0.2"/>
    <row r="57" spans="4:12" ht="15" customHeight="1" x14ac:dyDescent="0.2">
      <c r="D57" s="265" t="s">
        <v>891</v>
      </c>
      <c r="E57" s="717"/>
      <c r="F57" s="717"/>
      <c r="G57" s="266" t="s">
        <v>1152</v>
      </c>
    </row>
    <row r="58" spans="4:12" ht="15" customHeight="1" x14ac:dyDescent="0.2">
      <c r="H58" s="714"/>
      <c r="I58" s="714"/>
      <c r="J58" s="714"/>
      <c r="K58" s="714"/>
      <c r="L58" s="714"/>
    </row>
    <row r="60" spans="4:12" ht="15" hidden="1" customHeight="1" x14ac:dyDescent="0.2">
      <c r="D60" s="265"/>
    </row>
  </sheetData>
  <sheetProtection algorithmName="SHA-512" hashValue="Y7SRRgWvtwyqg75lb/sEatwbYQqz3MCLW1S/eBSy5Jhz1T7TWT77ledXWYPV2QmO5FPrXyDmIm4mI95ivmZ4pQ==" saltValue="/8OpownxA6yJpTBz3JCSAw==" spinCount="100000" sheet="1" objects="1" scenarios="1"/>
  <mergeCells count="9">
    <mergeCell ref="C6:N6"/>
    <mergeCell ref="H58:L58"/>
    <mergeCell ref="C7:M7"/>
    <mergeCell ref="E9:M9"/>
    <mergeCell ref="E10:M10"/>
    <mergeCell ref="K25:N25"/>
    <mergeCell ref="K30:N30"/>
    <mergeCell ref="K32:N32"/>
    <mergeCell ref="E57:F57"/>
  </mergeCells>
  <phoneticPr fontId="49" type="noConversion"/>
  <hyperlinks>
    <hyperlink ref="L30" location="'Exigência em N'!L2" display="Tabela exigência N"/>
    <hyperlink ref="L25" location="'Fert. Orgânicos'!H3" display="Tabela teor de nutrientes"/>
    <hyperlink ref="L32" location="Espaçamentos!K2" display="Tabela espaçamento"/>
  </hyperlinks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9">
    <pageSetUpPr fitToPage="1"/>
  </sheetPr>
  <dimension ref="A1:AB6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1977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164" customFormat="1" ht="15" customHeight="1" x14ac:dyDescent="0.25">
      <c r="B10" s="309"/>
      <c r="C10" s="309"/>
      <c r="D10" s="309"/>
      <c r="E10" s="309"/>
      <c r="F10" s="309"/>
    </row>
    <row r="11" spans="1:16" ht="15" customHeight="1" x14ac:dyDescent="0.2">
      <c r="D11" s="281" t="s">
        <v>1208</v>
      </c>
      <c r="G11" s="237">
        <v>8</v>
      </c>
      <c r="H11" s="265" t="s">
        <v>352</v>
      </c>
      <c r="I11" s="237">
        <v>3</v>
      </c>
      <c r="J11" s="265" t="s">
        <v>672</v>
      </c>
      <c r="K11" s="310">
        <f>10000/(G11*I11)</f>
        <v>416.66666666666669</v>
      </c>
      <c r="L11" s="281" t="s">
        <v>353</v>
      </c>
      <c r="M11" s="281"/>
    </row>
    <row r="12" spans="1:16" s="164" customFormat="1" ht="15" customHeight="1" x14ac:dyDescent="0.25">
      <c r="B12" s="309"/>
      <c r="C12" s="309"/>
      <c r="D12" s="309"/>
      <c r="E12" s="309"/>
      <c r="F12" s="309"/>
    </row>
    <row r="13" spans="1:16" s="34" customFormat="1" ht="15" customHeight="1" x14ac:dyDescent="0.25">
      <c r="C13" s="64"/>
      <c r="D13" s="311" t="s">
        <v>2051</v>
      </c>
      <c r="E13" s="64"/>
      <c r="F13" s="64"/>
    </row>
    <row r="14" spans="1:16" s="60" customFormat="1" ht="15" customHeight="1" x14ac:dyDescent="0.2">
      <c r="D14" s="298" t="s">
        <v>1703</v>
      </c>
      <c r="G14" s="237">
        <v>5</v>
      </c>
      <c r="H14" s="266" t="s">
        <v>1953</v>
      </c>
      <c r="I14" s="266"/>
      <c r="J14" s="266"/>
      <c r="L14" s="266"/>
      <c r="M14" s="266"/>
      <c r="N14" s="266"/>
    </row>
    <row r="15" spans="1:16" s="60" customFormat="1" ht="15" customHeight="1" x14ac:dyDescent="0.2">
      <c r="D15" s="266"/>
      <c r="G15" s="237">
        <v>150</v>
      </c>
      <c r="H15" s="266" t="s">
        <v>1933</v>
      </c>
      <c r="I15" s="266"/>
      <c r="J15" s="266"/>
      <c r="L15" s="266"/>
      <c r="M15" s="266"/>
      <c r="N15" s="266"/>
    </row>
    <row r="16" spans="1:16" s="60" customFormat="1" ht="15" customHeight="1" x14ac:dyDescent="0.2">
      <c r="B16" s="266"/>
      <c r="C16" s="266"/>
      <c r="D16" s="266"/>
      <c r="E16" s="266"/>
      <c r="F16" s="266"/>
      <c r="G16" s="266"/>
      <c r="H16" s="266"/>
      <c r="I16" s="266"/>
      <c r="J16" s="266"/>
      <c r="L16" s="266"/>
      <c r="M16" s="266"/>
      <c r="N16" s="266"/>
    </row>
    <row r="17" spans="2:28" s="60" customFormat="1" ht="15" customHeight="1" x14ac:dyDescent="0.2">
      <c r="F17" s="225" t="s">
        <v>392</v>
      </c>
      <c r="G17" s="224">
        <f>1000*(Y17*5)/K11</f>
        <v>720</v>
      </c>
      <c r="H17" s="280" t="s">
        <v>558</v>
      </c>
      <c r="I17" s="169" t="s">
        <v>1140</v>
      </c>
      <c r="J17" s="266"/>
      <c r="L17" s="266"/>
      <c r="Y17" s="279" t="str">
        <f>IF(G14&lt;10,"60",IF(AND(G14&gt;=10,G14&lt;30),"30",0))</f>
        <v>60</v>
      </c>
      <c r="Z17" s="296" t="s">
        <v>344</v>
      </c>
      <c r="AA17" s="296"/>
    </row>
    <row r="18" spans="2:28" s="60" customFormat="1" ht="15" customHeight="1" x14ac:dyDescent="0.2">
      <c r="F18" s="226" t="s">
        <v>1139</v>
      </c>
      <c r="G18" s="276">
        <f>(1000*(Y18*5)/K11)/3</f>
        <v>240</v>
      </c>
      <c r="H18" s="280" t="s">
        <v>558</v>
      </c>
      <c r="I18" s="277" t="str">
        <f>IF(G15&lt;60,"20-00-20",IF(AND(G15&gt;=60,G15&lt;120),"20-00-15",IF(AND(G15&gt;=120,G15&lt;220),"20-00-10","Sulfato de Amônio")))</f>
        <v>20-00-10</v>
      </c>
      <c r="J18" s="266"/>
      <c r="L18" s="266"/>
      <c r="Y18" s="208">
        <v>60</v>
      </c>
      <c r="Z18" s="296" t="s">
        <v>343</v>
      </c>
      <c r="AA18" s="296"/>
    </row>
    <row r="19" spans="2:28" ht="15" customHeight="1" x14ac:dyDescent="0.2">
      <c r="B19" s="27"/>
      <c r="C19" s="27"/>
      <c r="D19" s="27"/>
      <c r="E19" s="27"/>
      <c r="F19" s="27"/>
      <c r="Y19" s="27"/>
      <c r="Z19" s="27"/>
      <c r="AA19" s="27"/>
    </row>
    <row r="20" spans="2:28" s="34" customFormat="1" ht="15" customHeight="1" x14ac:dyDescent="0.25">
      <c r="D20" s="311" t="s">
        <v>2052</v>
      </c>
      <c r="E20" s="64"/>
      <c r="F20" s="64"/>
      <c r="G20" s="64"/>
      <c r="H20" s="64"/>
      <c r="I20" s="312"/>
      <c r="J20" s="312"/>
      <c r="K20" s="312"/>
      <c r="L20" s="312"/>
      <c r="N20" s="64"/>
      <c r="Y20" s="64"/>
      <c r="Z20" s="64"/>
      <c r="AA20" s="64"/>
      <c r="AB20" s="64"/>
    </row>
    <row r="21" spans="2:28" s="60" customFormat="1" ht="15" customHeight="1" x14ac:dyDescent="0.2">
      <c r="D21" s="298" t="s">
        <v>1703</v>
      </c>
      <c r="E21" s="225"/>
      <c r="G21" s="237">
        <v>5</v>
      </c>
      <c r="H21" s="266" t="s">
        <v>1953</v>
      </c>
      <c r="I21" s="272"/>
      <c r="J21" s="266"/>
      <c r="K21" s="266"/>
      <c r="L21" s="266"/>
      <c r="N21" s="266"/>
      <c r="Y21" s="27"/>
      <c r="Z21" s="27"/>
      <c r="AA21" s="296"/>
      <c r="AB21" s="296"/>
    </row>
    <row r="22" spans="2:28" s="60" customFormat="1" ht="15" customHeight="1" x14ac:dyDescent="0.2">
      <c r="E22" s="266"/>
      <c r="G22" s="237">
        <v>90</v>
      </c>
      <c r="H22" s="266" t="s">
        <v>1933</v>
      </c>
      <c r="I22" s="266"/>
      <c r="J22" s="266"/>
      <c r="K22" s="266"/>
      <c r="L22" s="266"/>
      <c r="N22" s="266"/>
      <c r="Y22" s="27"/>
      <c r="Z22" s="27"/>
      <c r="AA22" s="296"/>
      <c r="AB22" s="296"/>
    </row>
    <row r="23" spans="2:28" s="60" customFormat="1" ht="15" customHeight="1" x14ac:dyDescent="0.2">
      <c r="D23" s="266"/>
      <c r="E23" s="266"/>
      <c r="F23" s="266"/>
      <c r="G23" s="266"/>
      <c r="H23" s="266"/>
      <c r="I23" s="266"/>
      <c r="J23" s="266"/>
      <c r="K23" s="266"/>
      <c r="L23" s="266"/>
      <c r="N23" s="266"/>
      <c r="Y23" s="27"/>
      <c r="Z23" s="27"/>
      <c r="AA23" s="296"/>
      <c r="AB23" s="296"/>
    </row>
    <row r="24" spans="2:28" s="60" customFormat="1" ht="15" customHeight="1" x14ac:dyDescent="0.2">
      <c r="F24" s="225" t="s">
        <v>392</v>
      </c>
      <c r="G24" s="224">
        <f>1000*(Y24*5)/K11</f>
        <v>600</v>
      </c>
      <c r="H24" s="280" t="s">
        <v>927</v>
      </c>
      <c r="I24" s="169" t="s">
        <v>1140</v>
      </c>
      <c r="J24" s="169"/>
      <c r="K24" s="266"/>
      <c r="L24" s="266"/>
      <c r="N24" s="266"/>
      <c r="Y24" s="279" t="str">
        <f>IF(G21&lt;10,"50",IF(AND(G21&gt;=10,G21&lt;30),"30",0))</f>
        <v>50</v>
      </c>
      <c r="Z24" s="296" t="s">
        <v>344</v>
      </c>
      <c r="AA24" s="296"/>
      <c r="AB24" s="296"/>
    </row>
    <row r="25" spans="2:28" s="60" customFormat="1" ht="15" customHeight="1" x14ac:dyDescent="0.2">
      <c r="F25" s="226" t="s">
        <v>1139</v>
      </c>
      <c r="G25" s="276">
        <f>(1000*(Y25*5)/K11)/3</f>
        <v>240</v>
      </c>
      <c r="H25" s="280" t="s">
        <v>927</v>
      </c>
      <c r="I25" s="277" t="str">
        <f>IF(G22&lt;60,"20-00-20",IF(AND(G22&gt;=60,G22&lt;120),"20-00-15",IF(AND(G22&gt;=120,G22&lt;220),"20-00-10","Sulfato de Amônio")))</f>
        <v>20-00-15</v>
      </c>
      <c r="J25" s="266"/>
      <c r="K25" s="266"/>
      <c r="L25" s="266"/>
      <c r="N25" s="266"/>
      <c r="Y25" s="208">
        <v>60</v>
      </c>
      <c r="Z25" s="296" t="s">
        <v>343</v>
      </c>
      <c r="AA25" s="296"/>
      <c r="AB25" s="296"/>
    </row>
    <row r="26" spans="2:28" s="60" customFormat="1" ht="15" customHeight="1" x14ac:dyDescent="0.2">
      <c r="D26" s="275"/>
      <c r="E26" s="276"/>
      <c r="F26" s="280"/>
      <c r="G26" s="277"/>
      <c r="H26" s="266"/>
      <c r="I26" s="266"/>
      <c r="J26" s="266"/>
      <c r="K26" s="266"/>
      <c r="L26" s="266"/>
      <c r="N26" s="266"/>
      <c r="Y26" s="208"/>
      <c r="Z26" s="27"/>
      <c r="AA26" s="296"/>
      <c r="AB26" s="296"/>
    </row>
    <row r="27" spans="2:28" s="313" customFormat="1" ht="15" customHeight="1" x14ac:dyDescent="0.25">
      <c r="D27" s="282" t="s">
        <v>1941</v>
      </c>
      <c r="E27" s="314"/>
      <c r="F27" s="314"/>
      <c r="G27" s="314"/>
      <c r="H27" s="314"/>
      <c r="Y27" s="314"/>
      <c r="Z27" s="314"/>
      <c r="AA27" s="314"/>
      <c r="AB27" s="314"/>
    </row>
    <row r="28" spans="2:28" ht="15" customHeight="1" x14ac:dyDescent="0.2">
      <c r="D28" s="298" t="s">
        <v>1703</v>
      </c>
      <c r="G28" s="237">
        <v>20</v>
      </c>
      <c r="H28" s="266" t="s">
        <v>1929</v>
      </c>
      <c r="I28" s="283"/>
      <c r="J28" s="283"/>
      <c r="K28" s="283"/>
      <c r="L28" s="283"/>
      <c r="N28" s="263"/>
      <c r="X28" s="49"/>
      <c r="Y28" s="315"/>
      <c r="Z28" s="26"/>
      <c r="AA28" s="27"/>
      <c r="AB28" s="27"/>
    </row>
    <row r="29" spans="2:28" ht="15" customHeight="1" x14ac:dyDescent="0.2">
      <c r="F29" s="281"/>
      <c r="G29" s="5">
        <v>7</v>
      </c>
      <c r="H29" s="266" t="s">
        <v>1934</v>
      </c>
      <c r="I29" s="272"/>
      <c r="J29" s="272"/>
      <c r="K29" s="272"/>
      <c r="L29" s="272"/>
      <c r="N29" s="272"/>
      <c r="X29" s="49"/>
      <c r="Y29" s="315"/>
      <c r="Z29" s="26"/>
      <c r="AA29" s="27"/>
      <c r="AB29" s="27"/>
    </row>
    <row r="30" spans="2:28" ht="15" customHeight="1" x14ac:dyDescent="0.2">
      <c r="F30" s="281"/>
      <c r="G30" s="208"/>
      <c r="I30" s="272"/>
      <c r="J30" s="272"/>
      <c r="K30" s="272"/>
      <c r="L30" s="272"/>
      <c r="N30" s="272"/>
      <c r="X30" s="49"/>
      <c r="Y30" s="315"/>
      <c r="Z30" s="26"/>
      <c r="AA30" s="27"/>
      <c r="AB30" s="27"/>
    </row>
    <row r="31" spans="2:28" ht="15" customHeight="1" x14ac:dyDescent="0.2">
      <c r="D31" s="273" t="s">
        <v>565</v>
      </c>
      <c r="E31" s="49"/>
      <c r="F31" s="281"/>
      <c r="G31" s="237">
        <v>80</v>
      </c>
      <c r="H31" s="49" t="s">
        <v>341</v>
      </c>
      <c r="I31" s="283"/>
      <c r="J31" s="283"/>
      <c r="K31" s="283"/>
      <c r="L31" s="283"/>
      <c r="N31" s="263"/>
      <c r="O31" s="283"/>
      <c r="P31" s="283"/>
    </row>
    <row r="32" spans="2:28" ht="15" customHeight="1" x14ac:dyDescent="0.2">
      <c r="D32" s="281"/>
      <c r="E32" s="263"/>
      <c r="F32" s="283"/>
      <c r="G32" s="281"/>
      <c r="H32" s="283"/>
      <c r="I32" s="283"/>
      <c r="J32" s="283"/>
      <c r="K32" s="283"/>
      <c r="L32" s="283"/>
      <c r="N32" s="263"/>
      <c r="O32" s="220"/>
      <c r="P32" s="281"/>
    </row>
    <row r="33" spans="4:16" ht="15" customHeight="1" x14ac:dyDescent="0.2">
      <c r="D33" s="273" t="s">
        <v>1708</v>
      </c>
      <c r="E33" s="283"/>
      <c r="G33" s="257">
        <f>IF((G29*(60-G28)/G31)&gt;0,G29*(60-G28)/G31,0)</f>
        <v>3.5</v>
      </c>
      <c r="H33" s="266" t="s">
        <v>2019</v>
      </c>
      <c r="I33" s="281"/>
      <c r="J33" s="281"/>
      <c r="K33" s="281"/>
      <c r="L33" s="281"/>
      <c r="N33" s="281"/>
      <c r="O33" s="281"/>
      <c r="P33" s="281"/>
    </row>
    <row r="34" spans="4:16" s="281" customFormat="1" ht="15" customHeight="1" x14ac:dyDescent="0.2">
      <c r="D34" s="275"/>
      <c r="E34" s="283"/>
      <c r="F34" s="220"/>
      <c r="G34" s="280"/>
      <c r="H34" s="266"/>
    </row>
    <row r="35" spans="4:16" ht="15" customHeight="1" x14ac:dyDescent="0.2">
      <c r="D35" s="169"/>
      <c r="I35" s="272"/>
    </row>
    <row r="36" spans="4:16" s="281" customFormat="1" ht="15" customHeight="1" x14ac:dyDescent="0.2">
      <c r="D36" s="275"/>
      <c r="E36" s="275"/>
    </row>
    <row r="37" spans="4:16" s="281" customFormat="1" ht="15" customHeight="1" x14ac:dyDescent="0.2">
      <c r="D37" s="275"/>
      <c r="E37" s="275"/>
    </row>
    <row r="38" spans="4:16" s="281" customFormat="1" ht="15" customHeight="1" x14ac:dyDescent="0.2">
      <c r="D38" s="275"/>
      <c r="E38" s="275"/>
    </row>
    <row r="39" spans="4:16" s="281" customFormat="1" ht="15" customHeight="1" x14ac:dyDescent="0.2">
      <c r="D39" s="275"/>
      <c r="E39" s="275"/>
    </row>
    <row r="40" spans="4:16" s="281" customFormat="1" ht="15" customHeight="1" x14ac:dyDescent="0.2">
      <c r="D40" s="267"/>
      <c r="E40" s="267"/>
      <c r="F40" s="267"/>
      <c r="G40" s="267"/>
      <c r="H40" s="267"/>
      <c r="I40" s="267"/>
      <c r="J40" s="267"/>
      <c r="K40" s="267"/>
      <c r="L40" s="267"/>
      <c r="M40" s="267"/>
    </row>
    <row r="41" spans="4:16" s="60" customFormat="1" ht="15" customHeight="1" x14ac:dyDescent="0.2">
      <c r="D41" s="267"/>
      <c r="E41" s="267"/>
    </row>
    <row r="42" spans="4:16" s="60" customFormat="1" ht="15" customHeight="1" x14ac:dyDescent="0.2">
      <c r="D42" s="267"/>
      <c r="E42" s="267"/>
    </row>
    <row r="43" spans="4:16" s="60" customFormat="1" ht="15" customHeight="1" x14ac:dyDescent="0.2">
      <c r="D43" s="226" t="s">
        <v>891</v>
      </c>
      <c r="E43" s="771">
        <f ca="1">TODAY()</f>
        <v>45064</v>
      </c>
      <c r="F43" s="772"/>
      <c r="G43" s="60" t="s">
        <v>373</v>
      </c>
    </row>
    <row r="44" spans="4:16" s="60" customFormat="1" ht="15" customHeight="1" x14ac:dyDescent="0.2">
      <c r="D44" s="267"/>
    </row>
    <row r="45" spans="4:16" s="60" customFormat="1" ht="15" hidden="1" customHeight="1" x14ac:dyDescent="0.2">
      <c r="D45" s="267"/>
    </row>
    <row r="46" spans="4:16" s="60" customFormat="1" ht="15" hidden="1" customHeight="1" x14ac:dyDescent="0.2">
      <c r="D46" s="267"/>
      <c r="M46" s="266"/>
    </row>
    <row r="47" spans="4:16" s="60" customFormat="1" ht="15" hidden="1" customHeight="1" x14ac:dyDescent="0.2">
      <c r="D47" s="267"/>
    </row>
    <row r="48" spans="4:16" s="60" customFormat="1" ht="15" hidden="1" customHeight="1" x14ac:dyDescent="0.2">
      <c r="D48" s="267"/>
    </row>
    <row r="49" spans="2:5" ht="15" hidden="1" customHeight="1" x14ac:dyDescent="0.2"/>
    <row r="50" spans="2:5" s="60" customFormat="1" ht="15" hidden="1" customHeight="1" x14ac:dyDescent="0.2">
      <c r="D50" s="267"/>
      <c r="E50" s="267"/>
    </row>
    <row r="51" spans="2:5" s="60" customFormat="1" ht="15" hidden="1" customHeight="1" x14ac:dyDescent="0.2">
      <c r="D51" s="267"/>
      <c r="E51" s="267"/>
    </row>
    <row r="52" spans="2:5" s="60" customFormat="1" ht="15" hidden="1" customHeight="1" x14ac:dyDescent="0.2">
      <c r="D52" s="267"/>
      <c r="E52" s="267"/>
    </row>
    <row r="53" spans="2:5" s="60" customFormat="1" ht="15" hidden="1" customHeight="1" x14ac:dyDescent="0.2">
      <c r="B53" s="267"/>
      <c r="C53" s="267"/>
    </row>
    <row r="54" spans="2:5" s="60" customFormat="1" ht="15" hidden="1" customHeight="1" x14ac:dyDescent="0.2">
      <c r="B54" s="267"/>
      <c r="C54" s="267"/>
    </row>
    <row r="55" spans="2:5" s="60" customFormat="1" ht="15" hidden="1" customHeight="1" x14ac:dyDescent="0.2">
      <c r="B55" s="267"/>
      <c r="C55" s="267"/>
    </row>
    <row r="56" spans="2:5" s="60" customFormat="1" ht="15" hidden="1" customHeight="1" x14ac:dyDescent="0.2">
      <c r="B56" s="267"/>
      <c r="C56" s="267"/>
    </row>
    <row r="57" spans="2:5" s="60" customFormat="1" ht="15" hidden="1" customHeight="1" x14ac:dyDescent="0.2">
      <c r="B57" s="267"/>
      <c r="C57" s="267"/>
    </row>
    <row r="58" spans="2:5" s="60" customFormat="1" ht="15" hidden="1" customHeight="1" x14ac:dyDescent="0.2">
      <c r="B58" s="267"/>
      <c r="C58" s="267"/>
    </row>
    <row r="59" spans="2:5" ht="15" hidden="1" customHeight="1" x14ac:dyDescent="0.2"/>
    <row r="60" spans="2:5" ht="15" hidden="1" customHeight="1" x14ac:dyDescent="0.2"/>
    <row r="61" spans="2:5" ht="15" hidden="1" customHeight="1" x14ac:dyDescent="0.2"/>
    <row r="62" spans="2:5" ht="15" hidden="1" customHeight="1" x14ac:dyDescent="0.2"/>
    <row r="63" spans="2:5" ht="15" hidden="1" customHeight="1" x14ac:dyDescent="0.2"/>
  </sheetData>
  <sheetProtection algorithmName="SHA-512" hashValue="Y5E4Zb0MmwXbKWc/uBhLkXQ4xz/m5lhaBicOZ4XhoPQ9B/TGy1vXX2p1N4BpRPiItSibmPwlOevQb5dP1RBZaA==" saltValue="ivpMGH3Ta748SlG6wH7wuA==" spinCount="100000" sheet="1" objects="1" scenarios="1" selectLockedCells="1"/>
  <mergeCells count="3">
    <mergeCell ref="E43:F43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0">
    <pageSetUpPr fitToPage="1"/>
  </sheetPr>
  <dimension ref="A1:Z5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2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ht="24.95" customHeight="1" x14ac:dyDescent="0.2">
      <c r="C6" s="699" t="s">
        <v>1974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6" ht="15" customHeight="1" x14ac:dyDescent="0.2"/>
    <row r="8" spans="1:2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6" ht="15" customHeight="1" x14ac:dyDescent="0.2"/>
    <row r="10" spans="1:26" s="164" customFormat="1" ht="15" customHeight="1" x14ac:dyDescent="0.25">
      <c r="B10" s="309"/>
      <c r="C10" s="309"/>
      <c r="D10" s="309"/>
      <c r="E10" s="309"/>
      <c r="F10" s="309"/>
    </row>
    <row r="11" spans="1:26" ht="15" customHeight="1" x14ac:dyDescent="0.2">
      <c r="D11" s="281" t="s">
        <v>671</v>
      </c>
      <c r="G11" s="237">
        <v>8</v>
      </c>
      <c r="H11" s="265" t="s">
        <v>352</v>
      </c>
      <c r="I11" s="237">
        <v>3</v>
      </c>
      <c r="J11" s="265" t="s">
        <v>672</v>
      </c>
      <c r="K11" s="310">
        <f>10000/(G11*I11)</f>
        <v>416.66666666666669</v>
      </c>
      <c r="L11" s="281" t="s">
        <v>353</v>
      </c>
    </row>
    <row r="12" spans="1:26" ht="15" customHeight="1" x14ac:dyDescent="0.2">
      <c r="B12" s="27"/>
      <c r="C12" s="27"/>
      <c r="D12" s="27"/>
      <c r="E12" s="27"/>
      <c r="F12" s="27"/>
      <c r="G12" s="263"/>
      <c r="H12" s="263"/>
      <c r="I12" s="263"/>
      <c r="J12" s="263"/>
      <c r="K12" s="27"/>
      <c r="L12" s="27"/>
      <c r="M12" s="27"/>
    </row>
    <row r="13" spans="1:26" s="34" customFormat="1" ht="15" customHeight="1" x14ac:dyDescent="0.25">
      <c r="C13" s="64"/>
      <c r="D13" s="311" t="s">
        <v>2053</v>
      </c>
      <c r="E13" s="64"/>
      <c r="F13" s="64"/>
      <c r="G13" s="312"/>
      <c r="H13" s="312"/>
      <c r="I13" s="312"/>
      <c r="J13" s="312"/>
      <c r="M13" s="64"/>
      <c r="N13" s="64"/>
      <c r="O13" s="64"/>
    </row>
    <row r="14" spans="1:26" ht="15" customHeight="1" x14ac:dyDescent="0.2">
      <c r="B14" s="27"/>
      <c r="C14" s="27"/>
      <c r="D14" s="27"/>
      <c r="E14" s="27"/>
      <c r="F14" s="27"/>
      <c r="G14" s="263"/>
      <c r="H14" s="263"/>
      <c r="I14" s="263"/>
      <c r="J14" s="263"/>
      <c r="V14" s="27"/>
      <c r="W14" s="27"/>
      <c r="X14" s="27"/>
      <c r="Y14" s="27"/>
      <c r="Z14" s="27"/>
    </row>
    <row r="15" spans="1:26" s="60" customFormat="1" ht="15" customHeight="1" x14ac:dyDescent="0.2">
      <c r="D15" s="298" t="s">
        <v>1703</v>
      </c>
      <c r="G15" s="237">
        <v>5</v>
      </c>
      <c r="H15" s="266" t="s">
        <v>1953</v>
      </c>
      <c r="I15" s="271"/>
      <c r="J15" s="266"/>
      <c r="V15" s="27"/>
      <c r="W15" s="27"/>
      <c r="X15" s="27"/>
      <c r="Y15" s="296"/>
      <c r="Z15" s="296"/>
    </row>
    <row r="16" spans="1:26" s="60" customFormat="1" ht="15" customHeight="1" x14ac:dyDescent="0.2">
      <c r="C16" s="225"/>
      <c r="G16" s="237">
        <v>90</v>
      </c>
      <c r="H16" s="266" t="s">
        <v>1933</v>
      </c>
      <c r="I16" s="271"/>
      <c r="J16" s="266"/>
      <c r="V16" s="27"/>
      <c r="W16" s="27"/>
      <c r="X16" s="27"/>
      <c r="Y16" s="296"/>
      <c r="Z16" s="296"/>
    </row>
    <row r="17" spans="2:26" s="60" customFormat="1" ht="15" customHeight="1" x14ac:dyDescent="0.2">
      <c r="C17" s="225"/>
      <c r="D17" s="266"/>
      <c r="E17" s="266"/>
      <c r="F17" s="266"/>
      <c r="G17" s="266"/>
      <c r="H17" s="266"/>
      <c r="I17" s="266"/>
      <c r="J17" s="266"/>
      <c r="V17" s="27"/>
      <c r="W17" s="27"/>
      <c r="X17" s="27"/>
      <c r="Y17" s="296"/>
      <c r="Z17" s="296"/>
    </row>
    <row r="18" spans="2:26" s="60" customFormat="1" ht="15" customHeight="1" x14ac:dyDescent="0.2">
      <c r="F18" s="225" t="s">
        <v>637</v>
      </c>
      <c r="G18" s="224">
        <f>1000*(W18*5)/K11</f>
        <v>480</v>
      </c>
      <c r="H18" s="280" t="s">
        <v>372</v>
      </c>
      <c r="I18" s="219" t="s">
        <v>1140</v>
      </c>
      <c r="J18" s="266"/>
      <c r="V18" s="27"/>
      <c r="W18" s="279" t="str">
        <f>IF(G15&lt;10,"40",IF(AND(G15&gt;=10,G15&lt;30),"20",0))</f>
        <v>40</v>
      </c>
      <c r="X18" s="296" t="s">
        <v>344</v>
      </c>
      <c r="Y18" s="296"/>
      <c r="Z18" s="296"/>
    </row>
    <row r="19" spans="2:26" s="60" customFormat="1" ht="15" customHeight="1" x14ac:dyDescent="0.2">
      <c r="F19" s="226" t="s">
        <v>1139</v>
      </c>
      <c r="G19" s="276">
        <f>(1000*(W19*5)/K11)/3</f>
        <v>200</v>
      </c>
      <c r="H19" s="280" t="s">
        <v>372</v>
      </c>
      <c r="I19" s="222" t="str">
        <f>IF(G16&lt;60,"20-00-20",IF(AND(G16&gt;=60,G16&lt;120),"20-00-15",IF(AND(G16&gt;=120,G16&lt;220),"20-00-10","Sulfato de Amônio")))</f>
        <v>20-00-15</v>
      </c>
      <c r="J19" s="266"/>
      <c r="V19" s="27"/>
      <c r="W19" s="208">
        <v>50</v>
      </c>
      <c r="X19" s="296" t="s">
        <v>343</v>
      </c>
      <c r="Y19" s="296"/>
      <c r="Z19" s="296"/>
    </row>
    <row r="20" spans="2:26" ht="15" customHeight="1" x14ac:dyDescent="0.2">
      <c r="B20" s="27"/>
      <c r="C20" s="27"/>
      <c r="D20" s="27"/>
      <c r="E20" s="27"/>
      <c r="F20" s="27"/>
      <c r="G20" s="263"/>
      <c r="H20" s="263"/>
      <c r="I20" s="263"/>
      <c r="J20" s="263"/>
      <c r="V20" s="27"/>
      <c r="W20" s="27"/>
      <c r="X20" s="27"/>
      <c r="Y20" s="27"/>
      <c r="Z20" s="27"/>
    </row>
    <row r="21" spans="2:26" s="313" customFormat="1" ht="15" customHeight="1" x14ac:dyDescent="0.25">
      <c r="C21" s="314"/>
      <c r="D21" s="282" t="s">
        <v>1871</v>
      </c>
      <c r="E21" s="314"/>
      <c r="F21" s="314"/>
      <c r="R21" s="266"/>
      <c r="V21" s="314"/>
      <c r="W21" s="314"/>
      <c r="X21" s="314"/>
      <c r="Y21" s="314"/>
      <c r="Z21" s="314"/>
    </row>
    <row r="22" spans="2:26" s="281" customFormat="1" ht="15" customHeight="1" x14ac:dyDescent="0.2">
      <c r="B22" s="275"/>
      <c r="C22" s="283"/>
      <c r="D22" s="283"/>
      <c r="E22" s="283"/>
      <c r="F22" s="283"/>
      <c r="M22" s="283"/>
      <c r="N22" s="283"/>
      <c r="O22" s="283"/>
      <c r="P22" s="283"/>
      <c r="Q22" s="283"/>
    </row>
    <row r="23" spans="2:26" ht="15" customHeight="1" x14ac:dyDescent="0.2">
      <c r="D23" s="170" t="s">
        <v>1703</v>
      </c>
      <c r="G23" s="237">
        <v>20</v>
      </c>
      <c r="H23" s="266" t="s">
        <v>1929</v>
      </c>
      <c r="I23" s="281"/>
      <c r="J23" s="283"/>
      <c r="M23" s="263"/>
      <c r="N23" s="220"/>
      <c r="O23" s="27"/>
      <c r="P23" s="27"/>
      <c r="Q23" s="27"/>
    </row>
    <row r="24" spans="2:26" ht="15" customHeight="1" x14ac:dyDescent="0.2">
      <c r="C24" s="281"/>
      <c r="G24" s="5">
        <v>7</v>
      </c>
      <c r="H24" s="266" t="s">
        <v>1934</v>
      </c>
      <c r="I24" s="281"/>
      <c r="J24" s="272"/>
      <c r="M24" s="272"/>
      <c r="N24" s="289"/>
      <c r="O24" s="27"/>
      <c r="P24" s="27"/>
      <c r="Q24" s="27"/>
    </row>
    <row r="25" spans="2:26" ht="15" customHeight="1" x14ac:dyDescent="0.2">
      <c r="C25" s="281"/>
      <c r="J25" s="283"/>
      <c r="M25" s="263"/>
      <c r="N25" s="283"/>
      <c r="O25" s="283"/>
      <c r="P25" s="27"/>
      <c r="Q25" s="27"/>
    </row>
    <row r="26" spans="2:26" ht="15" customHeight="1" x14ac:dyDescent="0.2">
      <c r="C26" s="281"/>
      <c r="D26" s="273" t="s">
        <v>340</v>
      </c>
      <c r="E26" s="281"/>
      <c r="G26" s="237">
        <v>80</v>
      </c>
      <c r="I26" s="281"/>
      <c r="J26" s="281"/>
      <c r="M26" s="281"/>
      <c r="N26" s="281"/>
      <c r="O26" s="281"/>
    </row>
    <row r="27" spans="2:26" ht="15" customHeight="1" x14ac:dyDescent="0.2">
      <c r="C27" s="281"/>
      <c r="D27" s="273"/>
      <c r="E27" s="281"/>
      <c r="G27" s="263"/>
      <c r="I27" s="281"/>
      <c r="J27" s="281"/>
      <c r="M27" s="281"/>
      <c r="N27" s="281"/>
      <c r="O27" s="281"/>
    </row>
    <row r="28" spans="2:26" ht="15" customHeight="1" x14ac:dyDescent="0.2">
      <c r="D28" s="292" t="s">
        <v>1708</v>
      </c>
      <c r="G28" s="286">
        <f>IF((G24*(60-G23)/G26)&gt;0, G24*(60-G23)/G26,0)</f>
        <v>3.5</v>
      </c>
      <c r="H28" s="49" t="s">
        <v>2019</v>
      </c>
      <c r="I28" s="281"/>
      <c r="J28" s="281"/>
      <c r="M28" s="281"/>
      <c r="N28" s="220"/>
      <c r="O28" s="281"/>
    </row>
    <row r="29" spans="2:26" s="281" customFormat="1" ht="15" customHeight="1" x14ac:dyDescent="0.2">
      <c r="B29" s="275"/>
      <c r="C29" s="283"/>
      <c r="D29" s="220"/>
      <c r="E29" s="280"/>
      <c r="H29" s="266"/>
    </row>
    <row r="30" spans="2:26" ht="15" customHeight="1" x14ac:dyDescent="0.2">
      <c r="B30" s="169"/>
      <c r="G30" s="272"/>
    </row>
    <row r="31" spans="2:26" s="281" customFormat="1" ht="15" customHeight="1" x14ac:dyDescent="0.2">
      <c r="B31" s="275"/>
      <c r="C31" s="275"/>
    </row>
    <row r="32" spans="2:26" s="281" customFormat="1" ht="15" customHeight="1" x14ac:dyDescent="0.2">
      <c r="B32" s="275"/>
      <c r="C32" s="275"/>
    </row>
    <row r="33" spans="2:11" s="281" customFormat="1" ht="15" customHeight="1" x14ac:dyDescent="0.2">
      <c r="B33" s="275"/>
      <c r="C33" s="275"/>
    </row>
    <row r="34" spans="2:11" s="281" customFormat="1" ht="15" customHeight="1" x14ac:dyDescent="0.2">
      <c r="B34" s="275"/>
      <c r="C34" s="275"/>
    </row>
    <row r="35" spans="2:11" s="281" customFormat="1" ht="15" customHeight="1" x14ac:dyDescent="0.2">
      <c r="B35" s="267"/>
      <c r="C35" s="267"/>
      <c r="D35" s="267"/>
      <c r="E35" s="267"/>
      <c r="F35" s="267"/>
      <c r="G35" s="267"/>
      <c r="H35" s="267"/>
      <c r="I35" s="267"/>
      <c r="J35" s="267"/>
      <c r="K35" s="267"/>
    </row>
    <row r="36" spans="2:11" s="60" customFormat="1" ht="15" customHeight="1" x14ac:dyDescent="0.2">
      <c r="B36" s="267"/>
      <c r="C36" s="267"/>
    </row>
    <row r="37" spans="2:11" s="60" customFormat="1" ht="15" customHeight="1" x14ac:dyDescent="0.2">
      <c r="B37" s="267"/>
      <c r="C37" s="267"/>
    </row>
    <row r="38" spans="2:11" s="60" customFormat="1" ht="15" customHeight="1" x14ac:dyDescent="0.2">
      <c r="B38" s="267"/>
      <c r="D38" s="226" t="s">
        <v>891</v>
      </c>
      <c r="E38" s="771">
        <f ca="1">TODAY()</f>
        <v>45064</v>
      </c>
      <c r="F38" s="772"/>
      <c r="G38" s="60" t="s">
        <v>373</v>
      </c>
    </row>
    <row r="39" spans="2:11" s="60" customFormat="1" ht="15" customHeight="1" x14ac:dyDescent="0.2"/>
    <row r="40" spans="2:11" s="60" customFormat="1" ht="15" hidden="1" customHeight="1" x14ac:dyDescent="0.2">
      <c r="B40" s="267"/>
    </row>
    <row r="41" spans="2:11" s="60" customFormat="1" ht="15" hidden="1" customHeight="1" x14ac:dyDescent="0.2">
      <c r="B41" s="267"/>
    </row>
    <row r="42" spans="2:11" s="60" customFormat="1" ht="15" hidden="1" customHeight="1" x14ac:dyDescent="0.2">
      <c r="B42" s="267"/>
      <c r="K42" s="266"/>
    </row>
    <row r="43" spans="2:11" s="60" customFormat="1" ht="15" hidden="1" customHeight="1" x14ac:dyDescent="0.2">
      <c r="B43" s="267"/>
    </row>
    <row r="44" spans="2:11" s="60" customFormat="1" ht="15" hidden="1" customHeight="1" x14ac:dyDescent="0.2">
      <c r="B44" s="267"/>
    </row>
    <row r="45" spans="2:11" ht="15" hidden="1" customHeight="1" x14ac:dyDescent="0.2"/>
    <row r="46" spans="2:11" s="60" customFormat="1" ht="15" hidden="1" customHeight="1" x14ac:dyDescent="0.2">
      <c r="B46" s="267"/>
      <c r="C46" s="267"/>
    </row>
    <row r="47" spans="2:11" s="60" customFormat="1" ht="15" hidden="1" customHeight="1" x14ac:dyDescent="0.2">
      <c r="B47" s="267"/>
      <c r="C47" s="267"/>
    </row>
    <row r="48" spans="2:11" s="60" customFormat="1" ht="15" hidden="1" customHeight="1" x14ac:dyDescent="0.2">
      <c r="B48" s="267"/>
      <c r="C48" s="267"/>
    </row>
    <row r="49" spans="2:3" s="60" customFormat="1" ht="15" hidden="1" customHeight="1" x14ac:dyDescent="0.2">
      <c r="B49" s="267"/>
      <c r="C49" s="267"/>
    </row>
    <row r="50" spans="2:3" s="60" customFormat="1" ht="15" hidden="1" customHeight="1" x14ac:dyDescent="0.2">
      <c r="B50" s="267"/>
      <c r="C50" s="267"/>
    </row>
    <row r="51" spans="2:3" s="60" customFormat="1" ht="15" hidden="1" customHeight="1" x14ac:dyDescent="0.2">
      <c r="B51" s="267"/>
      <c r="C51" s="267"/>
    </row>
    <row r="52" spans="2:3" s="60" customFormat="1" ht="15" hidden="1" customHeight="1" x14ac:dyDescent="0.2">
      <c r="B52" s="267"/>
      <c r="C52" s="267"/>
    </row>
    <row r="53" spans="2:3" s="60" customFormat="1" ht="15" hidden="1" customHeight="1" x14ac:dyDescent="0.2">
      <c r="B53" s="267"/>
      <c r="C53" s="267"/>
    </row>
    <row r="54" spans="2:3" s="60" customFormat="1" ht="15" hidden="1" customHeight="1" x14ac:dyDescent="0.2">
      <c r="B54" s="267"/>
      <c r="C54" s="267"/>
    </row>
    <row r="55" spans="2:3" ht="15" hidden="1" customHeight="1" x14ac:dyDescent="0.2"/>
    <row r="56" spans="2:3" ht="15" hidden="1" customHeight="1" x14ac:dyDescent="0.2"/>
    <row r="57" spans="2:3" ht="15" hidden="1" customHeight="1" x14ac:dyDescent="0.2"/>
    <row r="58" spans="2:3" ht="15" hidden="1" customHeight="1" x14ac:dyDescent="0.2"/>
  </sheetData>
  <sheetProtection algorithmName="SHA-512" hashValue="G5JueOfM4ljznB6JGAv0JPsJQ5aSSYUdOHTga5QR1AKpzy/KmNyr2Ymv2gv9hGkvzU9PTJjd6eWknw7h+NXiZQ==" saltValue="vJ5+Sp4RgD/XKTezIeDtsQ==" spinCount="100000" sheet="1" objects="1" scenarios="1" selectLockedCells="1"/>
  <mergeCells count="3">
    <mergeCell ref="C6:N6"/>
    <mergeCell ref="E38:F38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1">
    <pageSetUpPr fitToPage="1"/>
  </sheetPr>
  <dimension ref="A1:Q56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7" width="0" style="266" hidden="1" customWidth="1"/>
    <col min="18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1973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98" t="s">
        <v>792</v>
      </c>
      <c r="G11" s="237">
        <v>1.3</v>
      </c>
      <c r="H11" s="297" t="s">
        <v>352</v>
      </c>
      <c r="I11" s="5">
        <v>0.6</v>
      </c>
      <c r="J11" s="266" t="s">
        <v>355</v>
      </c>
      <c r="K11" s="299">
        <f>10000/(G11*I11)</f>
        <v>12820.51282051282</v>
      </c>
      <c r="L11" s="266" t="s">
        <v>353</v>
      </c>
    </row>
    <row r="12" spans="1:16" ht="15" customHeight="1" x14ac:dyDescent="0.2">
      <c r="D12" s="225"/>
      <c r="E12" s="263"/>
      <c r="F12" s="297"/>
      <c r="G12" s="208"/>
      <c r="I12" s="299"/>
      <c r="J12" s="299"/>
      <c r="K12" s="299"/>
    </row>
    <row r="13" spans="1:16" ht="15" customHeight="1" x14ac:dyDescent="0.2">
      <c r="D13" s="298" t="s">
        <v>1703</v>
      </c>
      <c r="G13" s="237">
        <v>4</v>
      </c>
      <c r="H13" s="49" t="s">
        <v>1953</v>
      </c>
      <c r="I13" s="271"/>
    </row>
    <row r="14" spans="1:16" ht="15" customHeight="1" x14ac:dyDescent="0.2">
      <c r="G14" s="237">
        <v>62</v>
      </c>
      <c r="H14" s="49" t="s">
        <v>1933</v>
      </c>
      <c r="I14" s="271"/>
    </row>
    <row r="15" spans="1:16" ht="15" customHeight="1" x14ac:dyDescent="0.2">
      <c r="G15" s="237">
        <v>4.5</v>
      </c>
      <c r="H15" s="49" t="s">
        <v>1934</v>
      </c>
      <c r="I15" s="271"/>
    </row>
    <row r="16" spans="1:16" ht="15" customHeight="1" x14ac:dyDescent="0.2">
      <c r="G16" s="237">
        <v>47</v>
      </c>
      <c r="H16" s="49" t="s">
        <v>1929</v>
      </c>
      <c r="I16" s="271"/>
    </row>
    <row r="17" spans="4:17" ht="15" customHeight="1" x14ac:dyDescent="0.2">
      <c r="E17" s="265"/>
      <c r="F17" s="290"/>
      <c r="G17" s="271"/>
    </row>
    <row r="18" spans="4:17" ht="15" customHeight="1" x14ac:dyDescent="0.2">
      <c r="D18" s="298" t="s">
        <v>340</v>
      </c>
      <c r="G18" s="237">
        <v>90</v>
      </c>
      <c r="H18" s="290" t="s">
        <v>341</v>
      </c>
    </row>
    <row r="19" spans="4:17" ht="15" customHeight="1" x14ac:dyDescent="0.2">
      <c r="E19" s="265"/>
    </row>
    <row r="20" spans="4:17" ht="15" customHeight="1" x14ac:dyDescent="0.25">
      <c r="D20" s="291" t="s">
        <v>371</v>
      </c>
      <c r="E20" s="265"/>
    </row>
    <row r="21" spans="4:17" ht="15" customHeight="1" x14ac:dyDescent="0.2">
      <c r="D21" s="298" t="s">
        <v>348</v>
      </c>
      <c r="G21" s="286">
        <f>IF((G15*(80-G16)/G18)&gt;0, G15*(80-G16)/G18,0)</f>
        <v>1.65</v>
      </c>
      <c r="H21" s="300" t="s">
        <v>349</v>
      </c>
    </row>
    <row r="22" spans="4:17" ht="15" customHeight="1" x14ac:dyDescent="0.2">
      <c r="E22" s="265"/>
    </row>
    <row r="23" spans="4:17" ht="15" customHeight="1" x14ac:dyDescent="0.2">
      <c r="D23" s="298" t="s">
        <v>948</v>
      </c>
      <c r="G23" s="224">
        <v>280</v>
      </c>
      <c r="H23" s="273" t="s">
        <v>343</v>
      </c>
    </row>
    <row r="24" spans="4:17" ht="15" customHeight="1" x14ac:dyDescent="0.2">
      <c r="D24" s="301" t="s">
        <v>1159</v>
      </c>
      <c r="G24" s="224" t="str">
        <f>IF(G13&lt;20,"520",IF(AND(G13&gt;=20,G13&lt;60),"390",IF(AND(G13&gt;=60,G13&lt;100),"260",IF(AND(G13&gt;=100,G13&lt;150),"130",0))))</f>
        <v>520</v>
      </c>
      <c r="H24" s="273" t="s">
        <v>344</v>
      </c>
      <c r="M24" s="27"/>
      <c r="N24" s="27"/>
      <c r="O24" s="27"/>
      <c r="P24" s="27"/>
      <c r="Q24" s="27"/>
    </row>
    <row r="25" spans="4:17" ht="15" customHeight="1" x14ac:dyDescent="0.2">
      <c r="G25" s="224">
        <f>IF(G14&lt;80,550,IF(AND(G14&gt;=80,G14&lt;150),400,IF(AND(G14&gt;=150,G14&lt;200),300,IF(AND(G14&gt;=200,G14&lt;280),150,0))))</f>
        <v>550</v>
      </c>
      <c r="H25" s="273" t="s">
        <v>345</v>
      </c>
      <c r="M25" s="27"/>
      <c r="N25" s="27"/>
      <c r="O25" s="27"/>
      <c r="P25" s="27"/>
      <c r="Q25" s="27"/>
    </row>
    <row r="26" spans="4:17" ht="15" customHeight="1" x14ac:dyDescent="0.2">
      <c r="E26" s="224"/>
      <c r="F26" s="280"/>
      <c r="G26" s="279"/>
      <c r="M26" s="27"/>
      <c r="N26" s="27"/>
      <c r="O26" s="27"/>
      <c r="P26" s="27"/>
      <c r="Q26" s="27"/>
    </row>
    <row r="27" spans="4:17" s="213" customFormat="1" ht="15" customHeight="1" x14ac:dyDescent="0.2">
      <c r="D27" s="302" t="s">
        <v>628</v>
      </c>
      <c r="G27" s="303"/>
      <c r="M27" s="304"/>
      <c r="N27" s="220"/>
      <c r="O27" s="27"/>
      <c r="P27" s="27"/>
      <c r="Q27" s="304"/>
    </row>
    <row r="28" spans="4:17" ht="15" customHeight="1" x14ac:dyDescent="0.2">
      <c r="D28" s="298" t="s">
        <v>1696</v>
      </c>
      <c r="G28" s="224">
        <v>15</v>
      </c>
      <c r="H28" s="305" t="s">
        <v>558</v>
      </c>
      <c r="I28" s="222" t="str">
        <f>IF(G14&lt;80,"20-00-30",IF(AND(G14&gt;=80,G14&lt;150),"20-00-20",IF(AND(G14&gt;=150,G14&lt;200),"20-00-15",IF(AND(G14&gt;=200,G14&lt;280),"20-00-10","Sulf. Amônio"))))</f>
        <v>20-00-30</v>
      </c>
      <c r="J28" s="266" t="s">
        <v>149</v>
      </c>
      <c r="M28" s="27"/>
      <c r="N28" s="208"/>
      <c r="O28" s="27"/>
      <c r="P28" s="27"/>
      <c r="Q28" s="27"/>
    </row>
    <row r="29" spans="4:17" ht="15" customHeight="1" x14ac:dyDescent="0.2">
      <c r="G29" s="224" t="str">
        <f>IF(G13&lt;20,"200",IF(AND(G13&gt;=20,G13&lt;60),"150",IF(AND(G13&gt;=60,G13&lt;100),"100",IF(AND(G13&gt;=100,G13&lt;150),"50",0))))</f>
        <v>200</v>
      </c>
      <c r="H29" s="213" t="s">
        <v>1304</v>
      </c>
      <c r="I29" s="303"/>
      <c r="J29" s="218"/>
      <c r="L29" s="271"/>
      <c r="M29" s="27"/>
      <c r="N29" s="263"/>
      <c r="O29" s="27"/>
      <c r="P29" s="27"/>
      <c r="Q29" s="27"/>
    </row>
    <row r="30" spans="4:17" ht="15" customHeight="1" x14ac:dyDescent="0.2">
      <c r="G30" s="224">
        <v>6</v>
      </c>
      <c r="H30" s="213" t="s">
        <v>1318</v>
      </c>
      <c r="I30" s="208"/>
      <c r="J30" s="218"/>
      <c r="L30" s="306"/>
      <c r="N30" s="263"/>
      <c r="O30" s="27"/>
      <c r="P30" s="27"/>
    </row>
    <row r="31" spans="4:17" ht="15" customHeight="1" x14ac:dyDescent="0.2">
      <c r="H31" s="224"/>
      <c r="I31" s="213"/>
      <c r="J31" s="208"/>
      <c r="K31" s="218"/>
      <c r="L31" s="306"/>
      <c r="M31" s="27"/>
      <c r="N31" s="27"/>
      <c r="O31" s="27"/>
    </row>
    <row r="32" spans="4:17" ht="15" customHeight="1" x14ac:dyDescent="0.2">
      <c r="D32" s="294" t="s">
        <v>342</v>
      </c>
      <c r="G32" s="224">
        <v>15</v>
      </c>
      <c r="H32" s="256" t="s">
        <v>372</v>
      </c>
      <c r="I32" s="222" t="str">
        <f>I28</f>
        <v>20-00-30</v>
      </c>
      <c r="J32" s="307" t="s">
        <v>2054</v>
      </c>
    </row>
    <row r="33" spans="2:14" ht="15" customHeight="1" x14ac:dyDescent="0.2">
      <c r="G33" s="224">
        <v>20</v>
      </c>
      <c r="H33" s="256" t="s">
        <v>372</v>
      </c>
      <c r="I33" s="222" t="str">
        <f>IF(G14&lt;80,"10-00-30",IF(AND(G14&gt;=80,G14&lt;150),"10-00-20",IF(AND(G14&gt;=150,G14&lt;200),"10-00-15",IF(AND(G14&gt;=200,G14&lt;280),"10-00-10","Sulf. Amônio"))))</f>
        <v>10-00-30</v>
      </c>
      <c r="J33" s="307" t="s">
        <v>2055</v>
      </c>
    </row>
    <row r="34" spans="2:14" ht="15" customHeight="1" x14ac:dyDescent="0.2">
      <c r="B34" s="169"/>
      <c r="D34" s="224"/>
      <c r="F34" s="305"/>
      <c r="G34" s="221"/>
      <c r="H34" s="308"/>
    </row>
    <row r="35" spans="2:14" ht="15" customHeight="1" x14ac:dyDescent="0.2">
      <c r="B35" s="169"/>
    </row>
    <row r="36" spans="2:14" ht="15" customHeight="1" x14ac:dyDescent="0.2">
      <c r="N36" s="27"/>
    </row>
    <row r="37" spans="2:14" ht="15" customHeight="1" x14ac:dyDescent="0.2">
      <c r="N37" s="27"/>
    </row>
    <row r="38" spans="2:14" ht="15" customHeight="1" x14ac:dyDescent="0.2"/>
    <row r="39" spans="2:14" ht="15" customHeight="1" x14ac:dyDescent="0.2"/>
    <row r="40" spans="2:14" ht="15" customHeight="1" x14ac:dyDescent="0.2"/>
    <row r="41" spans="2:14" ht="15" customHeight="1" x14ac:dyDescent="0.2"/>
    <row r="42" spans="2:14" ht="15" customHeight="1" x14ac:dyDescent="0.2"/>
    <row r="43" spans="2:14" ht="15" customHeight="1" x14ac:dyDescent="0.2"/>
    <row r="44" spans="2:14" ht="15" customHeight="1" x14ac:dyDescent="0.2"/>
    <row r="45" spans="2:14" s="60" customFormat="1" ht="15" customHeight="1" x14ac:dyDescent="0.2">
      <c r="B45" s="267"/>
    </row>
    <row r="46" spans="2:14" s="60" customFormat="1" ht="15" customHeight="1" x14ac:dyDescent="0.2">
      <c r="C46" s="226" t="s">
        <v>891</v>
      </c>
      <c r="D46" s="771">
        <f ca="1">TODAY()</f>
        <v>45064</v>
      </c>
      <c r="E46" s="772"/>
      <c r="F46" s="60" t="s">
        <v>373</v>
      </c>
    </row>
    <row r="47" spans="2:14" s="60" customFormat="1" ht="15" customHeight="1" x14ac:dyDescent="0.2">
      <c r="C47" s="267"/>
    </row>
    <row r="48" spans="2:14" s="60" customFormat="1" ht="15" hidden="1" customHeight="1" x14ac:dyDescent="0.2">
      <c r="B48" s="267"/>
    </row>
    <row r="49" spans="2:11" s="60" customFormat="1" ht="15" hidden="1" customHeight="1" x14ac:dyDescent="0.2">
      <c r="B49" s="267"/>
    </row>
    <row r="50" spans="2:11" s="60" customFormat="1" ht="15" hidden="1" customHeight="1" x14ac:dyDescent="0.2">
      <c r="B50" s="267"/>
      <c r="K50" s="266"/>
    </row>
    <row r="51" spans="2:11" s="60" customFormat="1" ht="15" hidden="1" customHeight="1" x14ac:dyDescent="0.2">
      <c r="B51" s="267"/>
    </row>
    <row r="52" spans="2:11" s="60" customFormat="1" ht="15" hidden="1" customHeight="1" x14ac:dyDescent="0.2">
      <c r="B52" s="267"/>
    </row>
    <row r="53" spans="2:11" s="60" customFormat="1" ht="15" hidden="1" customHeight="1" x14ac:dyDescent="0.2">
      <c r="B53" s="267"/>
    </row>
    <row r="54" spans="2:11" ht="15" hidden="1" customHeight="1" x14ac:dyDescent="0.2"/>
    <row r="55" spans="2:11" ht="15" hidden="1" customHeight="1" x14ac:dyDescent="0.2"/>
    <row r="56" spans="2:11" ht="15" hidden="1" customHeight="1" x14ac:dyDescent="0.2"/>
  </sheetData>
  <sheetProtection algorithmName="SHA-512" hashValue="Hajbxgjbflc+oe7aYxPU6yPIyMQiaWJjOrFXnZYaLo+gM2MDRZL35CwBol+BQAIYsYhQerEF1hNwXCQzDYLHaA==" saltValue="l66cqMdMkTjabWzHU/s5zQ==" spinCount="100000" sheet="1" objects="1" scenarios="1" selectLockedCells="1"/>
  <mergeCells count="3">
    <mergeCell ref="E8:M8"/>
    <mergeCell ref="C6:N6"/>
    <mergeCell ref="D46:E4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00" verticalDpi="300" r:id="rId1"/>
  <headerFooter alignWithMargins="0"/>
  <colBreaks count="1" manualBreakCount="1">
    <brk id="12" max="1048575" man="1"/>
  </colBreaks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2">
    <pageSetUpPr fitToPage="1"/>
  </sheetPr>
  <dimension ref="A1:P23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2056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25">
      <c r="H7" s="50" t="s">
        <v>2066</v>
      </c>
    </row>
    <row r="8" spans="1:16" ht="24.95" customHeight="1" thickTop="1" thickBot="1" x14ac:dyDescent="0.25">
      <c r="B8" s="34"/>
      <c r="C8" s="34"/>
      <c r="D8" s="34"/>
      <c r="E8" s="34"/>
      <c r="F8" s="887" t="str">
        <f>HYPERLINK("#"&amp;"'Substrato'!h1","Substrato para a produção de mudas")</f>
        <v>Substrato para a produção de mudas</v>
      </c>
      <c r="G8" s="888"/>
      <c r="H8" s="888"/>
      <c r="I8" s="888"/>
      <c r="J8" s="889"/>
      <c r="K8" s="34"/>
      <c r="L8" s="34"/>
      <c r="M8" s="34"/>
      <c r="N8" s="34"/>
      <c r="O8" s="34"/>
      <c r="P8" s="34"/>
    </row>
    <row r="9" spans="1:16" s="35" customFormat="1" ht="24.95" customHeight="1" thickTop="1" thickBot="1" x14ac:dyDescent="0.4">
      <c r="A9" s="28"/>
      <c r="B9" s="28"/>
      <c r="C9" s="28"/>
      <c r="D9" s="28"/>
      <c r="E9" s="28"/>
      <c r="F9" s="887" t="str">
        <f>HYPERLINK("#"&amp;"'Plantio2V80'!h1","Plantio")</f>
        <v>Plantio</v>
      </c>
      <c r="G9" s="888"/>
      <c r="H9" s="888"/>
      <c r="I9" s="888"/>
      <c r="J9" s="889"/>
    </row>
    <row r="10" spans="1:16" s="32" customFormat="1" ht="24.75" thickTop="1" thickBot="1" x14ac:dyDescent="0.4">
      <c r="A10" s="35"/>
      <c r="B10" s="45"/>
      <c r="C10" s="45"/>
      <c r="D10" s="45"/>
      <c r="E10" s="45"/>
      <c r="F10" s="887" t="str">
        <f>HYPERLINK("#"&amp;"'Uva1a2'!h1","Formação - 1 a 2 anos")</f>
        <v>Formação - 1 a 2 anos</v>
      </c>
      <c r="G10" s="888"/>
      <c r="H10" s="888"/>
      <c r="I10" s="888"/>
      <c r="J10" s="889"/>
    </row>
    <row r="11" spans="1:16" ht="24.95" customHeight="1" thickTop="1" thickBot="1" x14ac:dyDescent="0.4">
      <c r="A11" s="32"/>
      <c r="B11" s="51"/>
      <c r="C11" s="51"/>
      <c r="D11" s="51"/>
      <c r="E11" s="51"/>
      <c r="F11" s="887" t="str">
        <f>HYPERLINK("#"&amp;"'UvaProd'!h1","Produção")</f>
        <v>Produção</v>
      </c>
      <c r="G11" s="888"/>
      <c r="H11" s="888"/>
      <c r="I11" s="888"/>
      <c r="J11" s="889"/>
    </row>
    <row r="12" spans="1:16" s="34" customFormat="1" ht="15" customHeight="1" thickTop="1" x14ac:dyDescent="0.2">
      <c r="A12" s="28"/>
      <c r="B12" s="28"/>
    </row>
    <row r="13" spans="1:16" s="34" customFormat="1" ht="15" hidden="1" customHeight="1" x14ac:dyDescent="0.2">
      <c r="A13" s="28"/>
      <c r="B13" s="42"/>
    </row>
    <row r="14" spans="1:16" s="34" customFormat="1" ht="15" hidden="1" customHeight="1" x14ac:dyDescent="0.2">
      <c r="A14" s="28"/>
      <c r="B14" s="28"/>
    </row>
    <row r="15" spans="1:16" s="34" customFormat="1" ht="15" hidden="1" customHeight="1" x14ac:dyDescent="0.2"/>
    <row r="16" spans="1:16" s="34" customFormat="1" ht="15" hidden="1" customHeight="1" x14ac:dyDescent="0.2"/>
    <row r="17" spans="2:8" s="34" customFormat="1" ht="15" hidden="1" customHeight="1" x14ac:dyDescent="0.2"/>
    <row r="18" spans="2:8" s="34" customFormat="1" ht="15" hidden="1" customHeight="1" x14ac:dyDescent="0.2">
      <c r="H18" s="43"/>
    </row>
    <row r="19" spans="2:8" s="34" customFormat="1" ht="15" hidden="1" customHeight="1" x14ac:dyDescent="0.2">
      <c r="H19" s="43"/>
    </row>
    <row r="20" spans="2:8" s="34" customFormat="1" ht="15" hidden="1" customHeight="1" x14ac:dyDescent="0.2">
      <c r="H20" s="43"/>
    </row>
    <row r="21" spans="2:8" s="34" customFormat="1" ht="15" hidden="1" customHeight="1" x14ac:dyDescent="0.2">
      <c r="C21" s="28"/>
      <c r="D21" s="28"/>
      <c r="E21" s="28"/>
      <c r="H21" s="43"/>
    </row>
    <row r="22" spans="2:8" s="34" customFormat="1" ht="15" hidden="1" customHeight="1" x14ac:dyDescent="0.2">
      <c r="B22" s="28"/>
      <c r="C22" s="28"/>
      <c r="D22" s="28"/>
      <c r="E22" s="28"/>
      <c r="H22" s="43"/>
    </row>
    <row r="23" spans="2:8" ht="15" hidden="1" customHeight="1" x14ac:dyDescent="0.2"/>
  </sheetData>
  <sheetProtection algorithmName="SHA-512" hashValue="jYvkfPMGq55ho1Grg0BydHwgeCcfPhjFJrD4OG9H12O/E90KDxE43kIm31ARt/Bvg3M2EiLESYwpDlpkaHqqEw==" saltValue="u0zLRHRakaRfog4z2xkbow==" spinCount="100000" sheet="1" objects="1" scenarios="1"/>
  <mergeCells count="5"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4">
    <pageSetUpPr fitToPage="1"/>
  </sheetPr>
  <dimension ref="A1:X5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1976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/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5">
      <c r="D11" s="164" t="s">
        <v>1897</v>
      </c>
      <c r="E11" s="34"/>
    </row>
    <row r="12" spans="1:16" ht="15" customHeight="1" x14ac:dyDescent="0.2">
      <c r="E12" s="49" t="s">
        <v>2058</v>
      </c>
    </row>
    <row r="13" spans="1:16" ht="15" customHeight="1" x14ac:dyDescent="0.2">
      <c r="E13" s="49" t="s">
        <v>2059</v>
      </c>
    </row>
    <row r="14" spans="1:16" ht="15" customHeight="1" x14ac:dyDescent="0.2">
      <c r="E14" s="49" t="s">
        <v>2060</v>
      </c>
    </row>
    <row r="15" spans="1:16" ht="15" customHeight="1" x14ac:dyDescent="0.2"/>
    <row r="16" spans="1:16" ht="15" customHeight="1" x14ac:dyDescent="0.2"/>
    <row r="17" spans="4:24" ht="15" customHeight="1" x14ac:dyDescent="0.25">
      <c r="D17" s="164" t="s">
        <v>2057</v>
      </c>
      <c r="E17" s="34"/>
    </row>
    <row r="18" spans="4:24" ht="15" customHeight="1" x14ac:dyDescent="0.2"/>
    <row r="19" spans="4:24" ht="15" customHeight="1" x14ac:dyDescent="0.2">
      <c r="D19" s="49" t="s">
        <v>1703</v>
      </c>
      <c r="G19" s="237">
        <v>18</v>
      </c>
      <c r="H19" s="49" t="s">
        <v>1953</v>
      </c>
      <c r="I19" s="271"/>
      <c r="J19" s="272"/>
    </row>
    <row r="20" spans="4:24" ht="15" customHeight="1" x14ac:dyDescent="0.2">
      <c r="G20" s="237">
        <v>150</v>
      </c>
      <c r="H20" s="49" t="s">
        <v>1933</v>
      </c>
      <c r="I20" s="271"/>
    </row>
    <row r="21" spans="4:24" ht="15" customHeight="1" x14ac:dyDescent="0.2">
      <c r="H21" s="49"/>
    </row>
    <row r="22" spans="4:24" ht="15" customHeight="1" x14ac:dyDescent="0.2">
      <c r="E22" s="266" t="s">
        <v>637</v>
      </c>
      <c r="G22" s="224">
        <f>W22*5</f>
        <v>200</v>
      </c>
      <c r="H22" s="273" t="s">
        <v>927</v>
      </c>
      <c r="I22" s="169" t="s">
        <v>1140</v>
      </c>
      <c r="W22" s="274" t="str">
        <f>IF(G19&lt;10,"60",IF(AND(G19&gt;=10,G19&lt;20),"40",IF(AND(G19&gt;=20,G19&lt;100),"20",0)))</f>
        <v>40</v>
      </c>
      <c r="X22" s="266" t="s">
        <v>649</v>
      </c>
    </row>
    <row r="23" spans="4:24" ht="15" customHeight="1" x14ac:dyDescent="0.2">
      <c r="E23" s="275" t="s">
        <v>1139</v>
      </c>
      <c r="G23" s="276">
        <f>((W23*100)/20)/3</f>
        <v>83.333333333333329</v>
      </c>
      <c r="H23" s="273" t="s">
        <v>927</v>
      </c>
      <c r="I23" s="277" t="str">
        <f>IF(G20&lt;60,"20-00-30",IF(AND(G20&gt;=60,G20&lt;120),"20-00-20",IF(AND(G20&gt;=120,G20&lt;200),"20-00-15",IF(AND(G20&gt;=200,G20&lt;280),"20-00-10","Sulfato de Amônio"))))</f>
        <v>20-00-15</v>
      </c>
      <c r="W23" s="278">
        <v>50</v>
      </c>
      <c r="X23" s="266" t="s">
        <v>391</v>
      </c>
    </row>
    <row r="24" spans="4:24" ht="15" customHeight="1" x14ac:dyDescent="0.2">
      <c r="H24" s="49"/>
      <c r="I24" s="279"/>
    </row>
    <row r="25" spans="4:24" ht="15" customHeight="1" x14ac:dyDescent="0.2">
      <c r="D25" s="275"/>
      <c r="E25" s="224"/>
      <c r="F25" s="280"/>
      <c r="H25" s="49"/>
    </row>
    <row r="26" spans="4:24" s="281" customFormat="1" ht="15" customHeight="1" x14ac:dyDescent="0.25">
      <c r="D26" s="282" t="s">
        <v>2014</v>
      </c>
      <c r="H26" s="273"/>
      <c r="I26" s="283"/>
      <c r="J26" s="283"/>
      <c r="K26" s="283"/>
      <c r="L26" s="283"/>
      <c r="M26" s="283"/>
      <c r="N26" s="283"/>
      <c r="W26" s="283"/>
    </row>
    <row r="27" spans="4:24" ht="15" customHeight="1" x14ac:dyDescent="0.2">
      <c r="D27" s="281" t="s">
        <v>338</v>
      </c>
      <c r="G27" s="237">
        <v>20</v>
      </c>
      <c r="H27" s="284" t="s">
        <v>1929</v>
      </c>
      <c r="I27" s="281"/>
      <c r="J27" s="283"/>
      <c r="K27" s="283"/>
      <c r="L27" s="283"/>
      <c r="M27" s="263"/>
      <c r="N27" s="283"/>
      <c r="W27" s="283"/>
    </row>
    <row r="28" spans="4:24" ht="15" customHeight="1" x14ac:dyDescent="0.2">
      <c r="D28" s="281"/>
      <c r="G28" s="5">
        <v>8</v>
      </c>
      <c r="H28" s="284" t="s">
        <v>1934</v>
      </c>
      <c r="I28" s="281"/>
      <c r="J28" s="272"/>
      <c r="K28" s="272"/>
      <c r="L28" s="272"/>
      <c r="M28" s="272"/>
      <c r="N28" s="283"/>
      <c r="W28" s="285">
        <f xml:space="preserve"> G28*(60-G27)/G30</f>
        <v>3.5555555555555554</v>
      </c>
      <c r="X28" s="266" t="s">
        <v>349</v>
      </c>
    </row>
    <row r="29" spans="4:24" ht="15" customHeight="1" x14ac:dyDescent="0.2">
      <c r="D29" s="281"/>
      <c r="G29" s="208"/>
      <c r="H29" s="284"/>
      <c r="I29" s="281"/>
      <c r="J29" s="272"/>
      <c r="K29" s="272"/>
      <c r="L29" s="272"/>
      <c r="M29" s="272"/>
      <c r="N29" s="283"/>
      <c r="W29" s="220"/>
    </row>
    <row r="30" spans="4:24" ht="15" customHeight="1" x14ac:dyDescent="0.2">
      <c r="D30" s="273" t="s">
        <v>340</v>
      </c>
      <c r="G30" s="237">
        <v>90</v>
      </c>
      <c r="H30" s="49" t="s">
        <v>341</v>
      </c>
      <c r="I30" s="281"/>
      <c r="J30" s="283"/>
      <c r="K30" s="283"/>
      <c r="L30" s="283"/>
      <c r="M30" s="263"/>
    </row>
    <row r="31" spans="4:24" ht="15" customHeight="1" x14ac:dyDescent="0.2">
      <c r="D31" s="273"/>
      <c r="G31" s="208"/>
      <c r="H31" s="49"/>
      <c r="I31" s="281"/>
      <c r="J31" s="283"/>
      <c r="K31" s="283"/>
      <c r="L31" s="283"/>
      <c r="M31" s="263"/>
    </row>
    <row r="32" spans="4:24" ht="15" customHeight="1" x14ac:dyDescent="0.2">
      <c r="D32" s="273" t="s">
        <v>2021</v>
      </c>
      <c r="G32" s="237">
        <v>10</v>
      </c>
      <c r="H32" s="49" t="s">
        <v>495</v>
      </c>
      <c r="I32" s="281"/>
      <c r="J32" s="283"/>
      <c r="K32" s="283"/>
      <c r="L32" s="283"/>
      <c r="M32" s="263"/>
    </row>
    <row r="33" spans="2:15" ht="15" customHeight="1" x14ac:dyDescent="0.2">
      <c r="D33" s="281"/>
      <c r="E33" s="281"/>
      <c r="F33" s="281"/>
      <c r="G33" s="281"/>
      <c r="H33" s="275"/>
      <c r="I33" s="281"/>
      <c r="J33" s="281"/>
      <c r="K33" s="281"/>
      <c r="L33" s="281"/>
      <c r="M33" s="281"/>
    </row>
    <row r="34" spans="2:15" ht="15" customHeight="1" x14ac:dyDescent="0.2">
      <c r="D34" s="273" t="s">
        <v>1708</v>
      </c>
      <c r="E34" s="283"/>
      <c r="G34" s="286">
        <f>IF((W28*G32/20)&gt;0,W28*G32/20,0)</f>
        <v>1.7777777777777779</v>
      </c>
      <c r="H34" s="280" t="s">
        <v>349</v>
      </c>
      <c r="I34" s="281"/>
      <c r="J34" s="281"/>
      <c r="K34" s="281"/>
      <c r="L34" s="281"/>
      <c r="M34" s="281"/>
    </row>
    <row r="35" spans="2:15" ht="15" customHeight="1" x14ac:dyDescent="0.2">
      <c r="D35" s="275"/>
      <c r="E35" s="283"/>
      <c r="F35" s="220"/>
      <c r="G35" s="280"/>
      <c r="H35" s="281"/>
      <c r="I35" s="281"/>
      <c r="J35" s="281"/>
      <c r="K35" s="281"/>
      <c r="L35" s="281"/>
      <c r="M35" s="281"/>
      <c r="N35" s="281"/>
      <c r="O35" s="281"/>
    </row>
    <row r="36" spans="2:15" ht="15" customHeight="1" x14ac:dyDescent="0.2">
      <c r="D36" s="169"/>
      <c r="I36" s="272"/>
    </row>
    <row r="37" spans="2:15" ht="15" customHeight="1" x14ac:dyDescent="0.2">
      <c r="D37" s="275"/>
      <c r="E37" s="275"/>
      <c r="F37" s="281"/>
      <c r="G37" s="281"/>
      <c r="H37" s="281"/>
      <c r="I37" s="281"/>
      <c r="J37" s="281"/>
      <c r="K37" s="281"/>
      <c r="L37" s="281"/>
    </row>
    <row r="38" spans="2:15" ht="15" customHeight="1" x14ac:dyDescent="0.2">
      <c r="D38" s="267"/>
      <c r="E38" s="267"/>
      <c r="F38" s="267"/>
      <c r="G38" s="267"/>
      <c r="H38" s="267"/>
      <c r="I38" s="267"/>
      <c r="J38" s="267"/>
      <c r="K38" s="267"/>
      <c r="L38" s="267"/>
      <c r="M38" s="267"/>
    </row>
    <row r="39" spans="2:15" ht="15" customHeight="1" x14ac:dyDescent="0.2">
      <c r="D39" s="267"/>
      <c r="E39" s="267"/>
      <c r="F39" s="60"/>
      <c r="G39" s="60"/>
      <c r="H39" s="60"/>
      <c r="I39" s="60"/>
      <c r="J39" s="60"/>
      <c r="K39" s="60"/>
      <c r="L39" s="60"/>
    </row>
    <row r="40" spans="2:15" ht="15" customHeight="1" x14ac:dyDescent="0.2">
      <c r="D40" s="267"/>
      <c r="E40" s="267"/>
      <c r="F40" s="60"/>
      <c r="G40" s="60"/>
      <c r="H40" s="60"/>
      <c r="I40" s="60"/>
      <c r="J40" s="60"/>
      <c r="K40" s="60"/>
      <c r="L40" s="60"/>
    </row>
    <row r="41" spans="2:15" ht="15" customHeight="1" x14ac:dyDescent="0.2">
      <c r="D41" s="267"/>
      <c r="E41" s="267"/>
      <c r="F41" s="60"/>
      <c r="G41" s="60"/>
      <c r="H41" s="60"/>
      <c r="I41" s="60"/>
      <c r="J41" s="60"/>
      <c r="K41" s="60"/>
      <c r="L41" s="60"/>
    </row>
    <row r="42" spans="2:15" ht="15" customHeight="1" x14ac:dyDescent="0.2">
      <c r="D42" s="267"/>
      <c r="E42" s="267"/>
      <c r="F42" s="60"/>
      <c r="G42" s="60"/>
      <c r="H42" s="60"/>
      <c r="I42" s="60"/>
      <c r="J42" s="60"/>
      <c r="K42" s="60"/>
      <c r="L42" s="60"/>
    </row>
    <row r="43" spans="2:15" ht="15" customHeight="1" x14ac:dyDescent="0.2">
      <c r="D43" s="267"/>
      <c r="E43" s="267"/>
      <c r="F43" s="60"/>
      <c r="G43" s="60"/>
      <c r="H43" s="60"/>
      <c r="I43" s="60"/>
      <c r="J43" s="60"/>
      <c r="K43" s="60"/>
      <c r="L43" s="60"/>
    </row>
    <row r="44" spans="2:15" s="60" customFormat="1" ht="15" customHeight="1" x14ac:dyDescent="0.2">
      <c r="D44" s="226" t="s">
        <v>891</v>
      </c>
      <c r="E44" s="771">
        <f ca="1">TODAY()</f>
        <v>45064</v>
      </c>
      <c r="F44" s="772"/>
      <c r="G44" s="60" t="s">
        <v>373</v>
      </c>
    </row>
    <row r="45" spans="2:15" s="60" customFormat="1" ht="15" customHeight="1" x14ac:dyDescent="0.2">
      <c r="B45" s="267"/>
    </row>
    <row r="46" spans="2:15" s="60" customFormat="1" ht="15" hidden="1" customHeight="1" x14ac:dyDescent="0.2">
      <c r="B46" s="267"/>
    </row>
    <row r="47" spans="2:15" s="60" customFormat="1" ht="15" hidden="1" customHeight="1" x14ac:dyDescent="0.2">
      <c r="B47" s="267"/>
      <c r="K47" s="266"/>
    </row>
    <row r="48" spans="2:15" s="60" customFormat="1" ht="15" hidden="1" customHeight="1" x14ac:dyDescent="0.2">
      <c r="B48" s="267"/>
    </row>
    <row r="49" spans="2:2" s="60" customFormat="1" ht="15" hidden="1" customHeight="1" x14ac:dyDescent="0.2">
      <c r="B49" s="267"/>
    </row>
    <row r="50" spans="2:2" ht="15" hidden="1" customHeight="1" x14ac:dyDescent="0.2"/>
    <row r="51" spans="2:2" ht="15" hidden="1" customHeight="1" x14ac:dyDescent="0.2"/>
    <row r="52" spans="2:2" ht="15" hidden="1" customHeight="1" x14ac:dyDescent="0.2"/>
  </sheetData>
  <sheetProtection algorithmName="SHA-512" hashValue="Ufgha6zHjjHWNd7X1PwkpIG/J+oU1Ju82zyca55MA1a5tXn9+H0pxkW1k2VZ9v2hPtH+FcuHvey9EWQ4EQXRHQ==" saltValue="jNXq4YlyBGHQzyBm6Ez6bA==" spinCount="100000" sheet="1" objects="1" scenarios="1" selectLockedCells="1"/>
  <mergeCells count="3">
    <mergeCell ref="E6:L6"/>
    <mergeCell ref="E8:M8"/>
    <mergeCell ref="E44:F44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5">
    <pageSetUpPr fitToPage="1"/>
  </sheetPr>
  <dimension ref="A1:X57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1975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G7" s="235"/>
      <c r="H7" s="235"/>
      <c r="I7" s="235"/>
      <c r="J7" s="235"/>
      <c r="K7" s="235"/>
      <c r="L7" s="235"/>
      <c r="M7" s="235"/>
      <c r="N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281" customFormat="1" ht="15" customHeight="1" x14ac:dyDescent="0.2">
      <c r="D10" s="275"/>
      <c r="E10" s="275"/>
      <c r="J10" s="283"/>
      <c r="K10" s="283"/>
      <c r="L10" s="283"/>
      <c r="M10" s="283"/>
      <c r="N10" s="283"/>
      <c r="O10" s="283"/>
    </row>
    <row r="11" spans="1:16" s="287" customFormat="1" ht="15" customHeight="1" x14ac:dyDescent="0.25">
      <c r="D11" s="266" t="s">
        <v>671</v>
      </c>
      <c r="E11" s="266"/>
      <c r="G11" s="237">
        <v>3</v>
      </c>
      <c r="H11" s="60" t="s">
        <v>2070</v>
      </c>
      <c r="I11" s="237">
        <v>2</v>
      </c>
      <c r="J11" s="60" t="s">
        <v>2069</v>
      </c>
      <c r="K11" s="288">
        <f>10000/(G11*I11)</f>
        <v>1666.6666666666667</v>
      </c>
      <c r="L11" s="281" t="s">
        <v>353</v>
      </c>
    </row>
    <row r="12" spans="1:16" s="281" customFormat="1" ht="15" customHeight="1" x14ac:dyDescent="0.2">
      <c r="D12" s="275"/>
      <c r="E12" s="275"/>
      <c r="J12" s="283"/>
      <c r="K12" s="283"/>
      <c r="L12" s="283"/>
      <c r="M12" s="283"/>
      <c r="N12" s="283"/>
      <c r="O12" s="283"/>
    </row>
    <row r="13" spans="1:16" s="281" customFormat="1" ht="15" customHeight="1" x14ac:dyDescent="0.2">
      <c r="D13" s="275" t="s">
        <v>846</v>
      </c>
      <c r="E13" s="275"/>
      <c r="G13" s="237">
        <v>25</v>
      </c>
      <c r="H13" s="266" t="s">
        <v>1019</v>
      </c>
      <c r="J13" s="283"/>
      <c r="K13" s="283"/>
      <c r="L13" s="283"/>
      <c r="M13" s="283"/>
      <c r="N13" s="283"/>
      <c r="O13" s="283"/>
    </row>
    <row r="14" spans="1:16" s="281" customFormat="1" ht="15" customHeight="1" x14ac:dyDescent="0.2">
      <c r="D14" s="275"/>
      <c r="E14" s="275"/>
      <c r="J14" s="283"/>
      <c r="K14" s="283"/>
      <c r="L14" s="283"/>
      <c r="M14" s="283"/>
      <c r="N14" s="283"/>
      <c r="O14" s="283"/>
      <c r="P14" s="283"/>
    </row>
    <row r="15" spans="1:16" s="281" customFormat="1" ht="15" customHeight="1" x14ac:dyDescent="0.2">
      <c r="D15" s="170" t="s">
        <v>1703</v>
      </c>
      <c r="E15" s="275"/>
      <c r="G15" s="237">
        <v>10</v>
      </c>
      <c r="H15" s="49" t="s">
        <v>1953</v>
      </c>
      <c r="I15" s="60"/>
      <c r="J15" s="271"/>
      <c r="K15" s="283"/>
      <c r="L15" s="283"/>
      <c r="M15" s="283"/>
      <c r="N15" s="283"/>
      <c r="O15" s="283"/>
      <c r="P15" s="283"/>
    </row>
    <row r="16" spans="1:16" s="281" customFormat="1" ht="15" customHeight="1" x14ac:dyDescent="0.2">
      <c r="D16" s="275"/>
      <c r="E16" s="275"/>
      <c r="G16" s="237">
        <v>100</v>
      </c>
      <c r="H16" s="49" t="s">
        <v>1933</v>
      </c>
      <c r="I16" s="60"/>
      <c r="J16" s="271"/>
      <c r="K16" s="283"/>
      <c r="L16" s="283"/>
      <c r="M16" s="283"/>
      <c r="N16" s="283"/>
      <c r="O16" s="283"/>
      <c r="P16" s="283"/>
    </row>
    <row r="17" spans="3:24" ht="15" customHeight="1" x14ac:dyDescent="0.2">
      <c r="D17" s="281"/>
      <c r="E17" s="281"/>
      <c r="G17" s="5">
        <v>8</v>
      </c>
      <c r="H17" s="49" t="s">
        <v>1934</v>
      </c>
      <c r="J17" s="281"/>
      <c r="K17" s="272"/>
      <c r="L17" s="272"/>
      <c r="M17" s="272"/>
      <c r="N17" s="27"/>
      <c r="O17" s="220"/>
      <c r="P17" s="27"/>
    </row>
    <row r="18" spans="3:24" ht="15" customHeight="1" x14ac:dyDescent="0.2">
      <c r="E18" s="281"/>
      <c r="G18" s="237">
        <v>30</v>
      </c>
      <c r="H18" s="49" t="s">
        <v>1929</v>
      </c>
      <c r="J18" s="281"/>
      <c r="K18" s="283"/>
      <c r="L18" s="283"/>
      <c r="M18" s="263"/>
      <c r="N18" s="27"/>
      <c r="O18" s="283"/>
      <c r="P18" s="283"/>
    </row>
    <row r="19" spans="3:24" s="281" customFormat="1" ht="15" customHeight="1" x14ac:dyDescent="0.2">
      <c r="D19" s="275"/>
      <c r="E19" s="275"/>
      <c r="G19" s="237">
        <v>4</v>
      </c>
      <c r="H19" s="49" t="s">
        <v>2117</v>
      </c>
      <c r="I19" s="60"/>
      <c r="J19" s="271"/>
      <c r="K19" s="283"/>
      <c r="L19" s="283"/>
      <c r="M19" s="283"/>
      <c r="N19" s="283"/>
      <c r="O19" s="283"/>
      <c r="P19" s="283"/>
    </row>
    <row r="20" spans="3:24" ht="15" customHeight="1" x14ac:dyDescent="0.2">
      <c r="D20" s="281"/>
      <c r="E20" s="281"/>
      <c r="I20" s="281"/>
      <c r="K20" s="283"/>
      <c r="L20" s="283"/>
      <c r="M20" s="263"/>
      <c r="O20" s="283"/>
      <c r="P20" s="289"/>
      <c r="Q20" s="27"/>
    </row>
    <row r="21" spans="3:24" ht="15" customHeight="1" x14ac:dyDescent="0.2">
      <c r="D21" s="283" t="s">
        <v>340</v>
      </c>
      <c r="E21" s="281"/>
      <c r="G21" s="237">
        <v>90</v>
      </c>
      <c r="H21" s="290" t="s">
        <v>341</v>
      </c>
      <c r="I21" s="281"/>
      <c r="J21" s="275"/>
      <c r="K21" s="281"/>
      <c r="L21" s="281"/>
      <c r="M21" s="281"/>
      <c r="O21" s="281"/>
      <c r="P21" s="220"/>
      <c r="Q21" s="27"/>
    </row>
    <row r="22" spans="3:24" ht="15" customHeight="1" x14ac:dyDescent="0.2">
      <c r="D22" s="283"/>
      <c r="E22" s="281"/>
      <c r="F22" s="263"/>
      <c r="H22" s="281"/>
      <c r="I22" s="281"/>
      <c r="J22" s="275"/>
      <c r="K22" s="281"/>
      <c r="L22" s="281"/>
      <c r="M22" s="281"/>
      <c r="O22" s="281"/>
      <c r="P22" s="220"/>
      <c r="Q22" s="27"/>
    </row>
    <row r="23" spans="3:24" ht="15" customHeight="1" x14ac:dyDescent="0.2">
      <c r="D23" s="283"/>
      <c r="E23" s="281"/>
      <c r="F23" s="263"/>
      <c r="H23" s="281"/>
      <c r="I23" s="281"/>
      <c r="J23" s="275"/>
      <c r="K23" s="281"/>
      <c r="L23" s="281"/>
      <c r="M23" s="281"/>
      <c r="O23" s="281"/>
      <c r="P23" s="220"/>
      <c r="Q23" s="27"/>
    </row>
    <row r="24" spans="3:24" ht="15" customHeight="1" x14ac:dyDescent="0.25">
      <c r="D24" s="291" t="s">
        <v>371</v>
      </c>
      <c r="E24" s="281"/>
      <c r="F24" s="263"/>
      <c r="H24" s="281"/>
      <c r="I24" s="281"/>
      <c r="J24" s="275"/>
      <c r="K24" s="281"/>
      <c r="L24" s="281"/>
      <c r="M24" s="281"/>
      <c r="O24" s="281"/>
      <c r="P24" s="220"/>
      <c r="Q24" s="27"/>
    </row>
    <row r="25" spans="3:24" ht="15" customHeight="1" x14ac:dyDescent="0.2">
      <c r="D25" s="219" t="s">
        <v>25</v>
      </c>
      <c r="E25" s="281"/>
      <c r="F25" s="281"/>
      <c r="G25" s="281"/>
      <c r="H25" s="281"/>
      <c r="I25" s="281"/>
      <c r="J25" s="275"/>
      <c r="K25" s="281"/>
      <c r="L25" s="281"/>
      <c r="M25" s="281"/>
      <c r="O25" s="281"/>
      <c r="P25" s="220"/>
      <c r="Q25" s="27"/>
    </row>
    <row r="26" spans="3:24" ht="15" customHeight="1" x14ac:dyDescent="0.2">
      <c r="D26" s="292" t="s">
        <v>1708</v>
      </c>
      <c r="E26" s="275"/>
      <c r="G26" s="286">
        <f>IF((G17*(80-G18)/G21)&gt;0,G17*(80-G18)/G21,0)</f>
        <v>4.4444444444444446</v>
      </c>
      <c r="H26" s="293" t="s">
        <v>349</v>
      </c>
      <c r="J26" s="281"/>
      <c r="K26" s="281"/>
      <c r="L26" s="281"/>
      <c r="M26" s="281"/>
      <c r="O26" s="281"/>
      <c r="P26" s="281"/>
    </row>
    <row r="27" spans="3:24" ht="15" customHeight="1" x14ac:dyDescent="0.2">
      <c r="D27" s="275"/>
      <c r="E27" s="275"/>
      <c r="F27" s="224"/>
      <c r="G27" s="224"/>
      <c r="H27" s="280"/>
    </row>
    <row r="28" spans="3:24" ht="15" customHeight="1" x14ac:dyDescent="0.2">
      <c r="C28" s="34"/>
      <c r="D28" s="169" t="s">
        <v>1037</v>
      </c>
      <c r="E28" s="34"/>
      <c r="F28" s="34"/>
      <c r="G28" s="34"/>
      <c r="H28" s="34"/>
      <c r="J28" s="263"/>
      <c r="K28" s="263"/>
      <c r="L28" s="27"/>
      <c r="M28" s="27"/>
      <c r="O28" s="27"/>
    </row>
    <row r="29" spans="3:24" s="294" customFormat="1" ht="15" customHeight="1" x14ac:dyDescent="0.2">
      <c r="E29" s="295" t="s">
        <v>2118</v>
      </c>
      <c r="G29" s="208"/>
      <c r="H29" s="222">
        <f>IF(G19&lt;1,35,IF(AND(G19&gt;=1,G19&lt;2.5),25,IF(AND(G19&gt;=2.5,G19&lt;4),20,15)))</f>
        <v>15</v>
      </c>
      <c r="I29" s="213" t="s">
        <v>1038</v>
      </c>
      <c r="K29" s="213"/>
      <c r="L29" s="213"/>
      <c r="M29" s="213"/>
      <c r="O29" s="213"/>
      <c r="P29" s="213"/>
    </row>
    <row r="30" spans="3:24" s="60" customFormat="1" ht="15" customHeight="1" x14ac:dyDescent="0.2">
      <c r="E30" s="169"/>
      <c r="F30" s="169"/>
      <c r="G30" s="263"/>
      <c r="H30" s="222">
        <f>IF(G19&lt;1,15,IF(AND(G19&gt;=1,G19&lt;2.5),10,IF(AND(G19&gt;=2.5,G19&lt;4),7,5)))</f>
        <v>5</v>
      </c>
      <c r="I30" s="49" t="s">
        <v>1479</v>
      </c>
      <c r="K30" s="266"/>
      <c r="L30" s="266"/>
      <c r="M30" s="266"/>
      <c r="U30" s="296"/>
      <c r="V30" s="27"/>
      <c r="W30" s="27"/>
      <c r="X30" s="296"/>
    </row>
    <row r="31" spans="3:24" s="60" customFormat="1" ht="15" customHeight="1" x14ac:dyDescent="0.2">
      <c r="E31" s="169"/>
      <c r="F31" s="169"/>
      <c r="G31" s="263"/>
      <c r="H31" s="222">
        <f>5000*(V33/K11)</f>
        <v>750</v>
      </c>
      <c r="I31" s="275" t="s">
        <v>1039</v>
      </c>
      <c r="J31" s="271"/>
      <c r="K31" s="266"/>
      <c r="L31" s="266"/>
      <c r="M31" s="266"/>
      <c r="U31" s="296"/>
      <c r="V31" s="27"/>
      <c r="W31" s="27"/>
      <c r="X31" s="296"/>
    </row>
    <row r="32" spans="3:24" s="60" customFormat="1" ht="15" customHeight="1" x14ac:dyDescent="0.2">
      <c r="G32" s="263"/>
      <c r="H32" s="263"/>
      <c r="I32" s="266"/>
      <c r="J32" s="271"/>
      <c r="K32" s="266"/>
      <c r="L32" s="266"/>
      <c r="M32" s="266"/>
      <c r="U32" s="296"/>
      <c r="V32" s="27"/>
      <c r="W32" s="27"/>
      <c r="X32" s="296"/>
    </row>
    <row r="33" spans="4:24" s="60" customFormat="1" ht="15" customHeight="1" x14ac:dyDescent="0.2">
      <c r="E33" s="295" t="s">
        <v>1040</v>
      </c>
      <c r="F33" s="169"/>
      <c r="G33" s="263"/>
      <c r="H33" s="222">
        <f>(5000*(V35/K11))*0.15</f>
        <v>112.5</v>
      </c>
      <c r="I33" s="266" t="s">
        <v>1041</v>
      </c>
      <c r="J33" s="257" t="str">
        <f>IF(G16&lt;60,"20-00-30",IF(AND(G16&gt;=60,G16&lt;120),"20-00-20",IF(AND(G16&gt;=120,G16&lt;200),"20-00-15",IF(AND(G16&gt;=200,G16&lt;280),"20-00-10","Sulfato de Amônio"))))</f>
        <v>20-00-20</v>
      </c>
      <c r="K33" s="266"/>
      <c r="L33" s="266"/>
      <c r="M33" s="266"/>
      <c r="U33" s="296"/>
      <c r="V33" s="279" t="str">
        <f>IF(G15&lt;10,"400",IF(AND(G15&gt;=10,G15&lt;20),"250",IF(AND(G15&gt;=20,G15&lt;50),"100",0)))</f>
        <v>250</v>
      </c>
      <c r="W33" s="27" t="s">
        <v>651</v>
      </c>
      <c r="X33" s="296"/>
    </row>
    <row r="34" spans="4:24" s="60" customFormat="1" ht="15" customHeight="1" x14ac:dyDescent="0.2">
      <c r="E34" s="169"/>
      <c r="F34" s="169"/>
      <c r="G34" s="263"/>
      <c r="H34" s="222"/>
      <c r="I34" s="266"/>
      <c r="J34" s="297"/>
      <c r="K34" s="266"/>
      <c r="L34" s="266"/>
      <c r="M34" s="266"/>
      <c r="U34" s="296"/>
      <c r="V34" s="296"/>
      <c r="W34" s="296"/>
      <c r="X34" s="296"/>
    </row>
    <row r="35" spans="4:24" s="60" customFormat="1" ht="15" customHeight="1" x14ac:dyDescent="0.2">
      <c r="E35" s="295" t="s">
        <v>842</v>
      </c>
      <c r="F35" s="169"/>
      <c r="G35" s="263"/>
      <c r="H35" s="222">
        <f>(5000*(V35/K11))*0.2</f>
        <v>150</v>
      </c>
      <c r="I35" s="266" t="s">
        <v>1041</v>
      </c>
      <c r="J35" s="257" t="str">
        <f>IF(G16&lt;60,"20-00-30",IF(AND(G16&gt;=60,G16&lt;120),"20-00-20",IF(AND(G16&gt;=120,G16&lt;200),"20-00-15",IF(AND(G16&gt;=200,G16&lt;280),"20-00-10","Sulfato de Amônio"))))</f>
        <v>20-00-20</v>
      </c>
      <c r="K35" s="266"/>
      <c r="L35" s="266"/>
      <c r="M35" s="266"/>
      <c r="U35" s="296"/>
      <c r="V35" s="208">
        <f>IF(G13&lt;13,130,IF(AND(G13&gt;=13,G13&lt;16),160,IF(AND(G13&gt;=16,G13&lt;22),200,IF(AND(G13&gt;=22,G13&lt;35),250,300))))</f>
        <v>250</v>
      </c>
      <c r="W35" s="27" t="s">
        <v>652</v>
      </c>
      <c r="X35" s="296"/>
    </row>
    <row r="36" spans="4:24" s="60" customFormat="1" ht="15" customHeight="1" x14ac:dyDescent="0.2">
      <c r="E36" s="169"/>
      <c r="F36" s="169"/>
      <c r="G36" s="263"/>
      <c r="H36" s="222"/>
      <c r="I36" s="266"/>
      <c r="J36" s="257"/>
      <c r="K36" s="266"/>
      <c r="L36" s="266"/>
      <c r="M36" s="266"/>
      <c r="U36" s="296"/>
      <c r="V36" s="27"/>
      <c r="W36" s="27"/>
      <c r="X36" s="296"/>
    </row>
    <row r="37" spans="4:24" s="60" customFormat="1" ht="15" customHeight="1" x14ac:dyDescent="0.2">
      <c r="E37" s="295" t="s">
        <v>843</v>
      </c>
      <c r="F37" s="169"/>
      <c r="G37" s="263"/>
      <c r="H37" s="222">
        <f>(5000*(V35/K11))*0.3</f>
        <v>225</v>
      </c>
      <c r="I37" s="266" t="s">
        <v>1041</v>
      </c>
      <c r="J37" s="257" t="str">
        <f>IF(G16&lt;60,"20-00-30",IF(AND(G16&gt;=60,G16&lt;120),"20-00-20",IF(AND(G16&gt;=120,G16&lt;200),"20-00-15",IF(AND(G16&gt;=200,G16&lt;280),"20-00-10","Sulfato de Amônio"))))</f>
        <v>20-00-20</v>
      </c>
      <c r="K37" s="266"/>
      <c r="L37" s="266"/>
      <c r="M37" s="266"/>
      <c r="U37" s="296"/>
      <c r="V37" s="27"/>
      <c r="W37" s="27"/>
      <c r="X37" s="296"/>
    </row>
    <row r="38" spans="4:24" s="60" customFormat="1" ht="15" customHeight="1" x14ac:dyDescent="0.2">
      <c r="E38" s="169"/>
      <c r="F38" s="169"/>
      <c r="G38" s="263"/>
      <c r="H38" s="222"/>
      <c r="I38" s="266"/>
      <c r="J38" s="257"/>
      <c r="K38" s="266"/>
      <c r="L38" s="266"/>
      <c r="M38" s="266"/>
      <c r="N38" s="266"/>
      <c r="O38" s="266"/>
    </row>
    <row r="39" spans="4:24" s="60" customFormat="1" ht="15" customHeight="1" x14ac:dyDescent="0.2">
      <c r="E39" s="295" t="s">
        <v>844</v>
      </c>
      <c r="F39" s="169"/>
      <c r="G39" s="263"/>
      <c r="H39" s="222">
        <f>(5000*(V35/K11))*0.2</f>
        <v>150</v>
      </c>
      <c r="I39" s="266" t="s">
        <v>1041</v>
      </c>
      <c r="J39" s="257" t="str">
        <f>IF(G16&lt;60,"20-00-30",IF(AND(G16&gt;=60,G16&lt;120),"20-00-20",IF(AND(G16&gt;=120,G16&lt;200),"20-00-15",IF(AND(G16&gt;=200,G16&lt;280),"20-00-10","Sulfato de Amônio"))))</f>
        <v>20-00-20</v>
      </c>
      <c r="K39" s="266"/>
      <c r="L39" s="266"/>
      <c r="M39" s="266"/>
      <c r="N39" s="266"/>
      <c r="O39" s="266"/>
    </row>
    <row r="40" spans="4:24" s="60" customFormat="1" ht="15" customHeight="1" x14ac:dyDescent="0.2">
      <c r="E40" s="169"/>
      <c r="F40" s="169"/>
      <c r="G40" s="263"/>
      <c r="H40" s="222"/>
      <c r="I40" s="266"/>
      <c r="J40" s="257"/>
      <c r="K40" s="266"/>
      <c r="L40" s="266"/>
      <c r="M40" s="266"/>
      <c r="N40" s="266"/>
      <c r="O40" s="266"/>
    </row>
    <row r="41" spans="4:24" s="60" customFormat="1" ht="15" customHeight="1" x14ac:dyDescent="0.2">
      <c r="E41" s="295" t="s">
        <v>845</v>
      </c>
      <c r="F41" s="169"/>
      <c r="G41" s="263"/>
      <c r="H41" s="222">
        <f>(5000*(V35/K11))*0.15</f>
        <v>112.5</v>
      </c>
      <c r="I41" s="266" t="s">
        <v>1041</v>
      </c>
      <c r="J41" s="257" t="str">
        <f>IF(G16&lt;60,"20-00-30",IF(AND(G16&gt;=60,G16&lt;120),"20-00-20",IF(AND(G16&gt;=120,G16&lt;200),"20-00-15",IF(AND(G16&gt;=200,G16&lt;280),"20-00-10","Sulfato de Amônio"))))</f>
        <v>20-00-20</v>
      </c>
      <c r="K41" s="266"/>
      <c r="L41" s="266"/>
      <c r="M41" s="266"/>
      <c r="N41" s="266"/>
      <c r="O41" s="266"/>
    </row>
    <row r="42" spans="4:24" s="60" customFormat="1" ht="15" customHeight="1" x14ac:dyDescent="0.2">
      <c r="D42" s="169"/>
      <c r="E42" s="169"/>
      <c r="F42" s="263"/>
      <c r="G42" s="263"/>
      <c r="H42" s="266"/>
      <c r="I42" s="271"/>
      <c r="J42" s="266"/>
      <c r="K42" s="266"/>
      <c r="L42" s="266"/>
      <c r="M42" s="266"/>
      <c r="N42" s="266"/>
      <c r="O42" s="266"/>
    </row>
    <row r="43" spans="4:24" s="60" customFormat="1" ht="15" customHeight="1" x14ac:dyDescent="0.2">
      <c r="D43" s="169"/>
      <c r="E43" s="169"/>
      <c r="F43" s="263"/>
      <c r="G43" s="263"/>
      <c r="H43" s="266"/>
      <c r="I43" s="271"/>
      <c r="J43" s="266"/>
      <c r="K43" s="266"/>
      <c r="L43" s="266"/>
      <c r="M43" s="266"/>
      <c r="N43" s="266"/>
      <c r="O43" s="266"/>
    </row>
    <row r="44" spans="4:24" ht="15" customHeight="1" x14ac:dyDescent="0.2">
      <c r="D44" s="169"/>
      <c r="E44" s="169"/>
      <c r="K44" s="272"/>
    </row>
    <row r="45" spans="4:24" ht="15" customHeight="1" x14ac:dyDescent="0.2">
      <c r="D45" s="169"/>
      <c r="E45" s="169"/>
      <c r="K45" s="272"/>
    </row>
    <row r="46" spans="4:24" s="213" customFormat="1" ht="15" customHeight="1" x14ac:dyDescent="0.2">
      <c r="K46" s="272"/>
    </row>
    <row r="47" spans="4:24" ht="15" customHeight="1" x14ac:dyDescent="0.2">
      <c r="D47" s="169"/>
      <c r="E47" s="169"/>
      <c r="K47" s="272"/>
    </row>
    <row r="48" spans="4:24" s="213" customFormat="1" ht="15" customHeight="1" x14ac:dyDescent="0.2">
      <c r="K48" s="272"/>
    </row>
    <row r="49" spans="4:13" s="213" customFormat="1" ht="15" customHeight="1" x14ac:dyDescent="0.2">
      <c r="K49" s="272"/>
    </row>
    <row r="50" spans="4:13" s="213" customFormat="1" ht="15" customHeight="1" x14ac:dyDescent="0.2">
      <c r="K50" s="272"/>
    </row>
    <row r="51" spans="4:13" s="213" customFormat="1" ht="15" customHeight="1" x14ac:dyDescent="0.2">
      <c r="K51" s="272"/>
    </row>
    <row r="52" spans="4:13" s="213" customFormat="1" ht="15" customHeight="1" x14ac:dyDescent="0.2">
      <c r="K52" s="272"/>
    </row>
    <row r="53" spans="4:13" s="60" customFormat="1" ht="15" customHeight="1" x14ac:dyDescent="0.2">
      <c r="D53" s="226" t="s">
        <v>891</v>
      </c>
      <c r="E53" s="771">
        <f ca="1">TODAY()</f>
        <v>45064</v>
      </c>
      <c r="F53" s="772"/>
      <c r="G53" s="60" t="s">
        <v>373</v>
      </c>
    </row>
    <row r="54" spans="4:13" s="60" customFormat="1" ht="15" customHeight="1" x14ac:dyDescent="0.2">
      <c r="D54" s="267"/>
      <c r="E54" s="267"/>
    </row>
    <row r="55" spans="4:13" s="60" customFormat="1" ht="15" customHeight="1" x14ac:dyDescent="0.2">
      <c r="D55" s="267"/>
      <c r="E55" s="267"/>
    </row>
    <row r="56" spans="4:13" s="60" customFormat="1" ht="15" hidden="1" customHeight="1" x14ac:dyDescent="0.2">
      <c r="D56" s="267"/>
      <c r="E56" s="267"/>
    </row>
    <row r="57" spans="4:13" s="60" customFormat="1" ht="15" hidden="1" customHeight="1" x14ac:dyDescent="0.2">
      <c r="D57" s="267"/>
      <c r="E57" s="267"/>
      <c r="M57" s="266"/>
    </row>
  </sheetData>
  <sheetProtection algorithmName="SHA-512" hashValue="Liu5j1gLO68gfiilmTU9/vcuS2TdsvsPTLlhauP5gmBk52SEtOptP2dGAcDGFVpQgDJBuwyb3s+/+NCnpKvFmA==" saltValue="JPBhEKEjtwWcMtYSmvv6Rg==" spinCount="100000" sheet="1" objects="1" scenarios="1" selectLockedCells="1"/>
  <mergeCells count="3">
    <mergeCell ref="E6:L6"/>
    <mergeCell ref="E8:M8"/>
    <mergeCell ref="E53:F53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fitToHeight="0" orientation="portrait" cellComments="atEnd" horizontalDpi="360" verticalDpi="36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pageSetUpPr fitToPage="1"/>
  </sheetPr>
  <dimension ref="A1:X57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2.75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1840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C7" s="716" t="s">
        <v>849</v>
      </c>
      <c r="D7" s="716"/>
      <c r="E7" s="716"/>
      <c r="F7" s="716"/>
      <c r="G7" s="716"/>
      <c r="H7" s="716"/>
      <c r="I7" s="716"/>
      <c r="J7" s="716"/>
      <c r="K7" s="716"/>
      <c r="L7" s="716"/>
      <c r="M7" s="716"/>
      <c r="N7" s="716"/>
    </row>
    <row r="8" spans="1:16" ht="15" customHeight="1" x14ac:dyDescent="0.2">
      <c r="L8" s="281"/>
    </row>
    <row r="9" spans="1:16" ht="15" customHeight="1" x14ac:dyDescent="0.2">
      <c r="D9" s="391" t="s">
        <v>1313</v>
      </c>
      <c r="E9" s="718"/>
      <c r="F9" s="718"/>
      <c r="G9" s="718"/>
      <c r="H9" s="718"/>
      <c r="I9" s="718"/>
      <c r="J9" s="718"/>
      <c r="K9" s="718"/>
      <c r="L9" s="718"/>
      <c r="M9" s="718"/>
    </row>
    <row r="10" spans="1:16" ht="15" customHeight="1" x14ac:dyDescent="0.2">
      <c r="D10" s="391" t="s">
        <v>832</v>
      </c>
      <c r="E10" s="718"/>
      <c r="F10" s="718"/>
      <c r="G10" s="718"/>
      <c r="H10" s="718"/>
      <c r="I10" s="718"/>
      <c r="J10" s="718"/>
      <c r="K10" s="718"/>
      <c r="L10" s="718"/>
      <c r="M10" s="718"/>
    </row>
    <row r="11" spans="1:16" ht="15" customHeight="1" x14ac:dyDescent="0.2"/>
    <row r="12" spans="1:16" ht="15" customHeight="1" x14ac:dyDescent="0.2">
      <c r="D12" s="266" t="s">
        <v>1153</v>
      </c>
      <c r="F12" s="265" t="s">
        <v>1138</v>
      </c>
      <c r="G12" s="237">
        <v>20</v>
      </c>
      <c r="H12" s="49" t="s">
        <v>278</v>
      </c>
    </row>
    <row r="13" spans="1:16" ht="15" customHeight="1" x14ac:dyDescent="0.2">
      <c r="F13" s="265" t="s">
        <v>1125</v>
      </c>
      <c r="G13" s="237">
        <v>80</v>
      </c>
      <c r="H13" s="49" t="s">
        <v>278</v>
      </c>
    </row>
    <row r="14" spans="1:16" ht="15" customHeight="1" x14ac:dyDescent="0.2">
      <c r="F14" s="265" t="s">
        <v>1124</v>
      </c>
      <c r="G14" s="237">
        <v>1.3</v>
      </c>
      <c r="H14" s="49" t="s">
        <v>2282</v>
      </c>
    </row>
    <row r="15" spans="1:16" ht="15" customHeight="1" x14ac:dyDescent="0.2">
      <c r="F15" s="265" t="s">
        <v>1123</v>
      </c>
      <c r="G15" s="237">
        <v>0.9</v>
      </c>
      <c r="H15" s="49" t="s">
        <v>2282</v>
      </c>
    </row>
    <row r="16" spans="1:16" ht="15" customHeight="1" x14ac:dyDescent="0.2">
      <c r="F16" s="265" t="s">
        <v>718</v>
      </c>
      <c r="G16" s="237">
        <v>2</v>
      </c>
      <c r="H16" s="49" t="s">
        <v>1122</v>
      </c>
    </row>
    <row r="17" spans="4:24" ht="15" customHeight="1" x14ac:dyDescent="0.2">
      <c r="F17" s="265" t="s">
        <v>293</v>
      </c>
      <c r="G17" s="237">
        <v>8</v>
      </c>
      <c r="H17" s="49" t="s">
        <v>2282</v>
      </c>
    </row>
    <row r="18" spans="4:24" ht="15" customHeight="1" x14ac:dyDescent="0.2">
      <c r="F18" s="265" t="s">
        <v>296</v>
      </c>
      <c r="G18" s="237">
        <v>40</v>
      </c>
      <c r="H18" s="49" t="s">
        <v>341</v>
      </c>
    </row>
    <row r="19" spans="4:24" ht="15" customHeight="1" x14ac:dyDescent="0.2">
      <c r="F19" s="265"/>
      <c r="G19" s="263"/>
      <c r="H19" s="49"/>
    </row>
    <row r="20" spans="4:24" ht="15" customHeight="1" x14ac:dyDescent="0.2">
      <c r="D20" s="266" t="s">
        <v>1156</v>
      </c>
      <c r="G20" s="237">
        <v>90</v>
      </c>
      <c r="H20" s="49" t="s">
        <v>341</v>
      </c>
      <c r="L20" s="281"/>
      <c r="U20" s="266" t="s">
        <v>290</v>
      </c>
      <c r="W20" s="310">
        <f>(2000000*(G16/100))*0.05*0.03</f>
        <v>60</v>
      </c>
      <c r="X20" s="266" t="s">
        <v>343</v>
      </c>
    </row>
    <row r="21" spans="4:24" ht="15" customHeight="1" x14ac:dyDescent="0.2">
      <c r="G21" s="265"/>
      <c r="L21" s="281"/>
      <c r="W21" s="308"/>
    </row>
    <row r="22" spans="4:24" ht="15" customHeight="1" x14ac:dyDescent="0.2">
      <c r="D22" s="49" t="s">
        <v>1828</v>
      </c>
      <c r="U22" s="266" t="s">
        <v>397</v>
      </c>
      <c r="W22" s="480">
        <f>((((H30-W20))*100)/(0.6*G24))</f>
        <v>10000.000000000002</v>
      </c>
      <c r="X22" s="266" t="s">
        <v>398</v>
      </c>
    </row>
    <row r="23" spans="4:24" ht="15" customHeight="1" x14ac:dyDescent="0.2">
      <c r="W23" s="308"/>
    </row>
    <row r="24" spans="4:24" ht="15" customHeight="1" x14ac:dyDescent="0.2">
      <c r="F24" s="265" t="s">
        <v>385</v>
      </c>
      <c r="G24" s="237">
        <v>1.5</v>
      </c>
      <c r="H24" s="49" t="s">
        <v>1122</v>
      </c>
      <c r="L24" s="281"/>
      <c r="U24" s="266" t="s">
        <v>1157</v>
      </c>
      <c r="W24" s="310">
        <f>IF(W22&gt;=5000,W22,5000)</f>
        <v>10000.000000000002</v>
      </c>
    </row>
    <row r="25" spans="4:24" ht="15" customHeight="1" x14ac:dyDescent="0.2">
      <c r="F25" s="265" t="s">
        <v>1138</v>
      </c>
      <c r="G25" s="237">
        <v>0.9</v>
      </c>
      <c r="H25" s="49" t="s">
        <v>1122</v>
      </c>
      <c r="K25" s="706" t="str">
        <f>HYPERLINK("#"&amp;"'FertiOrg'!H1","TABELA - Fertilizantes Orgânicos")</f>
        <v>TABELA - Fertilizantes Orgânicos</v>
      </c>
      <c r="L25" s="706"/>
      <c r="M25" s="706"/>
      <c r="N25" s="706"/>
      <c r="U25" s="266" t="s">
        <v>397</v>
      </c>
      <c r="W25" s="480">
        <f>100*(W24/(100-G28))</f>
        <v>20000.000000000004</v>
      </c>
      <c r="X25" s="266" t="s">
        <v>399</v>
      </c>
    </row>
    <row r="26" spans="4:24" ht="15" customHeight="1" x14ac:dyDescent="0.2">
      <c r="F26" s="265" t="s">
        <v>1125</v>
      </c>
      <c r="G26" s="237">
        <v>1</v>
      </c>
      <c r="H26" s="49" t="s">
        <v>1122</v>
      </c>
      <c r="L26" s="281"/>
      <c r="U26" s="266" t="s">
        <v>847</v>
      </c>
      <c r="W26" s="396">
        <f>(W25/F33)*0.66</f>
        <v>0.52800000000000014</v>
      </c>
    </row>
    <row r="27" spans="4:24" ht="15" customHeight="1" x14ac:dyDescent="0.2">
      <c r="F27" s="265"/>
      <c r="G27" s="263"/>
      <c r="H27" s="49"/>
      <c r="L27" s="281"/>
      <c r="U27" s="266" t="s">
        <v>848</v>
      </c>
      <c r="W27" s="396">
        <f>(W25/F33)*0.34</f>
        <v>0.27200000000000008</v>
      </c>
    </row>
    <row r="28" spans="4:24" ht="15" customHeight="1" x14ac:dyDescent="0.2">
      <c r="E28" s="281" t="s">
        <v>401</v>
      </c>
      <c r="G28" s="237">
        <v>50</v>
      </c>
      <c r="H28" s="49" t="s">
        <v>341</v>
      </c>
      <c r="L28" s="281"/>
    </row>
    <row r="29" spans="4:24" ht="15" customHeight="1" x14ac:dyDescent="0.2">
      <c r="U29" s="266" t="s">
        <v>291</v>
      </c>
    </row>
    <row r="30" spans="4:24" ht="15" customHeight="1" x14ac:dyDescent="0.2">
      <c r="D30" s="266" t="s">
        <v>1154</v>
      </c>
      <c r="H30" s="237">
        <v>150</v>
      </c>
      <c r="I30" s="49" t="s">
        <v>445</v>
      </c>
      <c r="K30" s="706" t="str">
        <f>HYPERLINK("#"&amp;"'ExigenciaN'!H1","TABELA - Exigência de Nitrogênio")</f>
        <v>TABELA - Exigência de Nitrogênio</v>
      </c>
      <c r="L30" s="706"/>
      <c r="M30" s="706"/>
      <c r="N30" s="706"/>
      <c r="V30" s="265" t="s">
        <v>678</v>
      </c>
      <c r="W30" s="310">
        <f>(((W24*G25)/100)*2.3)*0.5</f>
        <v>103.50000000000001</v>
      </c>
    </row>
    <row r="31" spans="4:24" ht="15" customHeight="1" x14ac:dyDescent="0.2">
      <c r="I31" s="49"/>
      <c r="L31" s="281"/>
      <c r="U31" s="265"/>
      <c r="V31" s="310"/>
    </row>
    <row r="32" spans="4:24" ht="15" customHeight="1" x14ac:dyDescent="0.2">
      <c r="D32" s="46" t="s">
        <v>1155</v>
      </c>
      <c r="F32" s="237">
        <v>1</v>
      </c>
      <c r="G32" s="265" t="s">
        <v>352</v>
      </c>
      <c r="H32" s="237">
        <v>0.4</v>
      </c>
      <c r="I32" s="49" t="s">
        <v>337</v>
      </c>
      <c r="K32" s="706" t="str">
        <f>HYPERLINK("#"&amp;"'EspacamentoOrg'!H1","TABELA - Espaçamento Recomendado")</f>
        <v>TABELA - Espaçamento Recomendado</v>
      </c>
      <c r="L32" s="706"/>
      <c r="M32" s="706"/>
      <c r="N32" s="706"/>
    </row>
    <row r="33" spans="4:24" ht="15" customHeight="1" x14ac:dyDescent="0.25">
      <c r="D33" s="47"/>
      <c r="F33" s="405">
        <f>10000/(F32*H32)</f>
        <v>25000</v>
      </c>
      <c r="G33" s="266" t="s">
        <v>353</v>
      </c>
      <c r="H33" s="263"/>
      <c r="I33" s="49"/>
      <c r="J33" s="405"/>
    </row>
    <row r="34" spans="4:24" ht="15" customHeight="1" x14ac:dyDescent="0.25">
      <c r="D34" s="47"/>
      <c r="F34" s="263"/>
      <c r="G34" s="265"/>
      <c r="H34" s="263"/>
      <c r="J34" s="405"/>
      <c r="K34" s="405"/>
      <c r="L34" s="281"/>
    </row>
    <row r="35" spans="4:24" ht="15" customHeight="1" x14ac:dyDescent="0.25">
      <c r="D35" s="164" t="s">
        <v>1036</v>
      </c>
      <c r="F35" s="263"/>
      <c r="G35" s="265"/>
      <c r="H35" s="263"/>
      <c r="J35" s="405"/>
      <c r="K35" s="405"/>
    </row>
    <row r="36" spans="4:24" ht="15" customHeight="1" x14ac:dyDescent="0.25">
      <c r="E36" s="406" t="s">
        <v>573</v>
      </c>
      <c r="F36" s="286">
        <f>IF(W36&gt;0,W36,0)</f>
        <v>2.6666666666666665</v>
      </c>
      <c r="G36" s="266" t="s">
        <v>1147</v>
      </c>
      <c r="V36" s="266" t="s">
        <v>25</v>
      </c>
      <c r="W36" s="396">
        <f>G17*(70-G18)/G20</f>
        <v>2.6666666666666665</v>
      </c>
      <c r="X36" s="266" t="s">
        <v>349</v>
      </c>
    </row>
    <row r="37" spans="4:24" ht="15" customHeight="1" x14ac:dyDescent="0.2">
      <c r="W37" s="396"/>
    </row>
    <row r="38" spans="4:24" ht="15" customHeight="1" x14ac:dyDescent="0.25">
      <c r="E38" s="164" t="s">
        <v>1652</v>
      </c>
    </row>
    <row r="39" spans="4:24" ht="15" customHeight="1" x14ac:dyDescent="0.2">
      <c r="E39" s="220">
        <f>IF(W26&gt;=0,W26,0)</f>
        <v>0.52800000000000014</v>
      </c>
      <c r="F39" s="266" t="s">
        <v>1151</v>
      </c>
      <c r="U39" s="266" t="s">
        <v>1</v>
      </c>
      <c r="W39" s="265" t="str">
        <f>IF(G12&lt;50,"400",IF(AND(G12&gt;=50,G12&lt;100),"300",IF(AND(G12&gt;=100,G12&lt;200),"200",0)))</f>
        <v>400</v>
      </c>
      <c r="X39" s="266" t="s">
        <v>1010</v>
      </c>
    </row>
    <row r="40" spans="4:24" ht="15" customHeight="1" x14ac:dyDescent="0.2">
      <c r="E40" s="224">
        <f>(W43/F33)*1000</f>
        <v>59.3</v>
      </c>
      <c r="F40" s="266" t="s">
        <v>400</v>
      </c>
      <c r="I40" s="257"/>
      <c r="U40" s="266" t="s">
        <v>2</v>
      </c>
      <c r="W40" s="310">
        <f>W39-W30</f>
        <v>296.5</v>
      </c>
      <c r="X40" s="266" t="s">
        <v>6</v>
      </c>
    </row>
    <row r="41" spans="4:24" ht="15" customHeight="1" x14ac:dyDescent="0.2">
      <c r="E41" s="224"/>
    </row>
    <row r="42" spans="4:24" ht="15" customHeight="1" x14ac:dyDescent="0.25">
      <c r="E42" s="164" t="s">
        <v>1653</v>
      </c>
      <c r="U42" s="266" t="s">
        <v>0</v>
      </c>
      <c r="W42" s="310">
        <f>(W40*5)</f>
        <v>1482.5</v>
      </c>
      <c r="X42" s="266" t="s">
        <v>7</v>
      </c>
    </row>
    <row r="43" spans="4:24" ht="15" customHeight="1" x14ac:dyDescent="0.2">
      <c r="E43" s="286">
        <f>IF(W27&gt;=0,W27,0)</f>
        <v>0.27200000000000008</v>
      </c>
      <c r="F43" s="266" t="s">
        <v>1151</v>
      </c>
      <c r="U43" s="266" t="s">
        <v>3</v>
      </c>
      <c r="W43" s="310">
        <f>IF(W42&gt;0,W42,0)</f>
        <v>1482.5</v>
      </c>
      <c r="X43" s="266" t="s">
        <v>7</v>
      </c>
    </row>
    <row r="44" spans="4:24" ht="15" customHeight="1" x14ac:dyDescent="0.2">
      <c r="E44" s="224"/>
      <c r="P44" s="310"/>
    </row>
    <row r="45" spans="4:24" ht="15" customHeight="1" x14ac:dyDescent="0.2">
      <c r="D45" s="169"/>
      <c r="P45" s="265"/>
    </row>
    <row r="46" spans="4:24" ht="15" customHeight="1" x14ac:dyDescent="0.2"/>
    <row r="47" spans="4:24" ht="15" customHeight="1" x14ac:dyDescent="0.2"/>
    <row r="48" spans="4:24" ht="15" customHeight="1" x14ac:dyDescent="0.2"/>
    <row r="49" spans="4:12" ht="15" customHeight="1" x14ac:dyDescent="0.2"/>
    <row r="50" spans="4:12" ht="15" customHeight="1" x14ac:dyDescent="0.2">
      <c r="D50" s="49"/>
    </row>
    <row r="51" spans="4:12" ht="15" customHeight="1" x14ac:dyDescent="0.2"/>
    <row r="52" spans="4:12" ht="15" customHeight="1" x14ac:dyDescent="0.2"/>
    <row r="53" spans="4:12" ht="15" customHeight="1" x14ac:dyDescent="0.2"/>
    <row r="54" spans="4:12" ht="15" customHeight="1" x14ac:dyDescent="0.2">
      <c r="D54" s="265" t="s">
        <v>891</v>
      </c>
      <c r="E54" s="717"/>
      <c r="F54" s="717"/>
      <c r="G54" s="266" t="s">
        <v>1152</v>
      </c>
    </row>
    <row r="55" spans="4:12" ht="15" customHeight="1" x14ac:dyDescent="0.2">
      <c r="D55" s="265"/>
      <c r="E55" s="481"/>
      <c r="H55" s="714"/>
      <c r="I55" s="714"/>
      <c r="J55" s="714"/>
      <c r="K55" s="714"/>
      <c r="L55" s="714"/>
    </row>
    <row r="56" spans="4:12" hidden="1" x14ac:dyDescent="0.2">
      <c r="D56" s="265"/>
    </row>
    <row r="57" spans="4:12" hidden="1" x14ac:dyDescent="0.2">
      <c r="E57" s="49"/>
    </row>
  </sheetData>
  <sheetProtection algorithmName="SHA-512" hashValue="k5ohe523QRq5n1HwT3QaN+7S7cxOUguq8cp40XVzLeGIu5hptMM98Tn87WE/hGU9c2xTxXLY2dkSIvfjVtBgZQ==" saltValue="vlpXSowQGJu0Mr8/QZxu2g==" spinCount="100000" sheet="1" objects="1" scenarios="1"/>
  <mergeCells count="9">
    <mergeCell ref="H55:L55"/>
    <mergeCell ref="K25:N25"/>
    <mergeCell ref="K30:N30"/>
    <mergeCell ref="K32:N32"/>
    <mergeCell ref="C6:N6"/>
    <mergeCell ref="C7:N7"/>
    <mergeCell ref="E9:M9"/>
    <mergeCell ref="E10:M10"/>
    <mergeCell ref="E54:F54"/>
  </mergeCells>
  <phoneticPr fontId="49" type="noConversion"/>
  <hyperlinks>
    <hyperlink ref="L25" location="'Fert. Orgânicos'!H3" display="Tabela teor de nutrientes"/>
    <hyperlink ref="L30" location="'Exigência em N'!L2" display="Tabela exigência N"/>
    <hyperlink ref="L32" location="Espaçamentos!K2" display="Tabela espaçamento"/>
  </hyperlinks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pageSetUpPr fitToPage="1"/>
  </sheetPr>
  <dimension ref="A1:U56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B6" s="475"/>
      <c r="C6" s="688" t="s">
        <v>1819</v>
      </c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7" spans="1:16" ht="15" customHeight="1" x14ac:dyDescent="0.25">
      <c r="B7" s="291"/>
      <c r="C7" s="291"/>
      <c r="D7" s="291"/>
      <c r="E7" s="291"/>
      <c r="F7" s="291"/>
      <c r="G7" s="291"/>
      <c r="H7" s="291"/>
      <c r="I7" s="291"/>
      <c r="J7" s="476"/>
      <c r="K7" s="386"/>
    </row>
    <row r="8" spans="1:16" ht="15" customHeight="1" x14ac:dyDescent="0.25">
      <c r="B8" s="309"/>
      <c r="C8" s="309"/>
      <c r="D8" s="309"/>
      <c r="E8" s="309"/>
      <c r="F8" s="309"/>
      <c r="G8" s="309"/>
      <c r="H8" s="309"/>
      <c r="I8" s="309"/>
      <c r="J8" s="476"/>
      <c r="N8" s="207"/>
    </row>
    <row r="9" spans="1:16" ht="15" customHeight="1" x14ac:dyDescent="0.2">
      <c r="D9" s="391" t="s">
        <v>458</v>
      </c>
      <c r="E9" s="696"/>
      <c r="F9" s="696"/>
      <c r="G9" s="696"/>
      <c r="H9" s="696"/>
      <c r="I9" s="696"/>
      <c r="J9" s="696"/>
      <c r="K9" s="696"/>
      <c r="L9" s="696"/>
      <c r="M9" s="696"/>
    </row>
    <row r="10" spans="1:16" ht="15" customHeight="1" x14ac:dyDescent="0.2">
      <c r="D10" s="391" t="s">
        <v>832</v>
      </c>
      <c r="E10" s="696"/>
      <c r="F10" s="696"/>
      <c r="G10" s="696"/>
      <c r="H10" s="696"/>
      <c r="I10" s="696"/>
      <c r="J10" s="696"/>
      <c r="K10" s="696"/>
      <c r="L10" s="696"/>
      <c r="M10" s="696"/>
    </row>
    <row r="11" spans="1:16" ht="15" customHeight="1" x14ac:dyDescent="0.2">
      <c r="D11" s="477"/>
      <c r="E11" s="281"/>
      <c r="F11" s="281"/>
      <c r="G11" s="281"/>
      <c r="H11" s="281"/>
      <c r="I11" s="281"/>
      <c r="J11" s="281"/>
      <c r="K11" s="281"/>
    </row>
    <row r="12" spans="1:16" ht="15" customHeight="1" x14ac:dyDescent="0.2"/>
    <row r="13" spans="1:16" ht="15" customHeight="1" x14ac:dyDescent="0.25">
      <c r="D13" s="164" t="s">
        <v>2281</v>
      </c>
    </row>
    <row r="14" spans="1:16" ht="15" customHeight="1" x14ac:dyDescent="0.2">
      <c r="D14" s="170" t="s">
        <v>1208</v>
      </c>
      <c r="G14" s="237">
        <v>3</v>
      </c>
      <c r="H14" s="298" t="s">
        <v>2070</v>
      </c>
      <c r="I14" s="237">
        <v>1.5</v>
      </c>
      <c r="J14" s="298" t="s">
        <v>2069</v>
      </c>
      <c r="K14" s="405">
        <f>10000/(G14*I14)</f>
        <v>2222.2222222222222</v>
      </c>
      <c r="L14" s="266" t="s">
        <v>353</v>
      </c>
    </row>
    <row r="15" spans="1:16" ht="15" customHeight="1" x14ac:dyDescent="0.2">
      <c r="D15" s="170" t="s">
        <v>656</v>
      </c>
      <c r="G15" s="237">
        <v>40</v>
      </c>
      <c r="H15" s="298" t="s">
        <v>2280</v>
      </c>
      <c r="I15" s="237">
        <v>40</v>
      </c>
      <c r="J15" s="298" t="s">
        <v>2280</v>
      </c>
      <c r="K15" s="237">
        <v>40</v>
      </c>
      <c r="L15" s="49" t="s">
        <v>495</v>
      </c>
    </row>
    <row r="16" spans="1:16" ht="15" customHeight="1" x14ac:dyDescent="0.2"/>
    <row r="17" spans="4:21" ht="15" customHeight="1" x14ac:dyDescent="0.2">
      <c r="D17" s="34"/>
      <c r="E17" s="34"/>
      <c r="F17" s="34"/>
      <c r="G17" s="34"/>
    </row>
    <row r="18" spans="4:21" ht="15" customHeight="1" x14ac:dyDescent="0.2">
      <c r="D18" s="281" t="s">
        <v>338</v>
      </c>
      <c r="E18" s="292" t="s">
        <v>657</v>
      </c>
      <c r="F18" s="296"/>
      <c r="G18" s="5">
        <v>12</v>
      </c>
      <c r="H18" s="273" t="s">
        <v>278</v>
      </c>
    </row>
    <row r="19" spans="4:21" ht="15" customHeight="1" x14ac:dyDescent="0.2">
      <c r="D19" s="275"/>
      <c r="E19" s="292" t="s">
        <v>658</v>
      </c>
      <c r="F19" s="296"/>
      <c r="G19" s="5">
        <v>30</v>
      </c>
      <c r="H19" s="273" t="s">
        <v>278</v>
      </c>
    </row>
    <row r="20" spans="4:21" ht="15" customHeight="1" x14ac:dyDescent="0.2">
      <c r="D20" s="275"/>
      <c r="E20" s="292" t="s">
        <v>976</v>
      </c>
      <c r="F20" s="296"/>
      <c r="G20" s="5">
        <v>2</v>
      </c>
      <c r="H20" s="273" t="s">
        <v>341</v>
      </c>
      <c r="T20" s="256">
        <f>(G15*I15*K15)/1000</f>
        <v>64</v>
      </c>
      <c r="U20" s="49" t="s">
        <v>662</v>
      </c>
    </row>
    <row r="21" spans="4:21" ht="15" customHeight="1" x14ac:dyDescent="0.2">
      <c r="D21" s="275"/>
      <c r="E21" s="273" t="s">
        <v>562</v>
      </c>
      <c r="F21" s="283"/>
      <c r="G21" s="237">
        <v>20</v>
      </c>
      <c r="H21" s="49" t="s">
        <v>563</v>
      </c>
      <c r="T21" s="256">
        <f>IF(G20&lt;1,20,
IF(AND(G20&gt;=1,G20&lt;3),17,
IF(AND(G20&gt;=3,G20&lt;5),13,10)))</f>
        <v>17</v>
      </c>
      <c r="U21" s="49" t="s">
        <v>360</v>
      </c>
    </row>
    <row r="22" spans="4:21" ht="15" customHeight="1" x14ac:dyDescent="0.3">
      <c r="D22" s="275"/>
      <c r="E22" s="273" t="s">
        <v>564</v>
      </c>
      <c r="F22" s="275"/>
      <c r="G22" s="5">
        <v>10</v>
      </c>
      <c r="H22" s="49" t="s">
        <v>1784</v>
      </c>
      <c r="T22" s="310">
        <f>(T21*(T20/64))</f>
        <v>17</v>
      </c>
      <c r="U22" s="266" t="s">
        <v>361</v>
      </c>
    </row>
    <row r="23" spans="4:21" ht="15" customHeight="1" x14ac:dyDescent="0.2">
      <c r="D23" s="275"/>
      <c r="F23" s="265"/>
      <c r="G23" s="263"/>
      <c r="H23" s="49"/>
      <c r="T23" s="310"/>
    </row>
    <row r="24" spans="4:21" ht="15" customHeight="1" x14ac:dyDescent="0.2">
      <c r="D24" s="275"/>
      <c r="E24" s="273" t="s">
        <v>565</v>
      </c>
      <c r="F24" s="283"/>
      <c r="G24" s="237">
        <v>90</v>
      </c>
      <c r="H24" s="49" t="s">
        <v>341</v>
      </c>
      <c r="T24" s="350">
        <f>(((((80-G18)/0.2)*T20)/1000)*2.3)*5</f>
        <v>250.24</v>
      </c>
      <c r="U24" s="49" t="s">
        <v>359</v>
      </c>
    </row>
    <row r="25" spans="4:21" ht="15" customHeight="1" x14ac:dyDescent="0.2">
      <c r="D25" s="34"/>
      <c r="E25" s="34"/>
      <c r="F25" s="34"/>
      <c r="G25" s="34"/>
      <c r="T25" s="310">
        <f>IF(T24&gt;0,T24,0)</f>
        <v>250.24</v>
      </c>
      <c r="U25" s="266" t="s">
        <v>362</v>
      </c>
    </row>
    <row r="26" spans="4:21" ht="15" customHeight="1" x14ac:dyDescent="0.2">
      <c r="E26" s="478" t="s">
        <v>668</v>
      </c>
      <c r="F26" s="276">
        <f>T22</f>
        <v>17</v>
      </c>
      <c r="G26" s="266" t="s">
        <v>358</v>
      </c>
      <c r="I26" s="265" t="s">
        <v>672</v>
      </c>
      <c r="J26" s="276">
        <f>((F26*K14)*0.6)/1000</f>
        <v>22.666666666666664</v>
      </c>
      <c r="K26" s="266" t="s">
        <v>349</v>
      </c>
      <c r="T26" s="353">
        <f>((60-G21)*G22)/G24</f>
        <v>4.4444444444444446</v>
      </c>
      <c r="U26" s="49" t="s">
        <v>665</v>
      </c>
    </row>
    <row r="27" spans="4:21" ht="15" customHeight="1" x14ac:dyDescent="0.2">
      <c r="F27" s="276">
        <f>T25</f>
        <v>250.24</v>
      </c>
      <c r="G27" s="266" t="s">
        <v>461</v>
      </c>
      <c r="T27" s="350">
        <f>(T26/2)*T20</f>
        <v>142.22222222222223</v>
      </c>
      <c r="U27" s="49" t="s">
        <v>666</v>
      </c>
    </row>
    <row r="28" spans="4:21" ht="15" customHeight="1" x14ac:dyDescent="0.2">
      <c r="F28" s="276">
        <f>T28</f>
        <v>142.22222222222223</v>
      </c>
      <c r="G28" s="266" t="s">
        <v>660</v>
      </c>
      <c r="T28" s="350">
        <f>IF(T27&gt;0,T27,0)</f>
        <v>142.22222222222223</v>
      </c>
      <c r="U28" s="49" t="s">
        <v>114</v>
      </c>
    </row>
    <row r="29" spans="4:21" ht="15" customHeight="1" x14ac:dyDescent="0.2">
      <c r="F29" s="257"/>
      <c r="L29" s="350"/>
      <c r="M29" s="49"/>
    </row>
    <row r="30" spans="4:21" ht="15" customHeight="1" x14ac:dyDescent="0.2">
      <c r="E30" s="169" t="s">
        <v>573</v>
      </c>
      <c r="F30" s="286">
        <f>IF(T26&gt;0,T26,0)</f>
        <v>4.4444444444444446</v>
      </c>
      <c r="G30" s="266" t="s">
        <v>115</v>
      </c>
      <c r="L30" s="396"/>
    </row>
    <row r="31" spans="4:21" ht="15" customHeight="1" x14ac:dyDescent="0.2"/>
    <row r="32" spans="4:21" ht="15" customHeight="1" x14ac:dyDescent="0.2">
      <c r="E32" s="219" t="s">
        <v>669</v>
      </c>
    </row>
    <row r="33" spans="4:14" ht="15" customHeight="1" x14ac:dyDescent="0.2">
      <c r="E33" s="49" t="s">
        <v>1820</v>
      </c>
      <c r="G33" s="169"/>
      <c r="J33" s="479">
        <f>0.5*4*K14/1000</f>
        <v>4.4444444444444446</v>
      </c>
      <c r="K33" s="266" t="s">
        <v>349</v>
      </c>
      <c r="L33" s="49"/>
      <c r="M33" s="49"/>
      <c r="N33" s="49"/>
    </row>
    <row r="34" spans="4:14" ht="15" customHeight="1" x14ac:dyDescent="0.2">
      <c r="E34" s="49" t="s">
        <v>1821</v>
      </c>
      <c r="G34" s="169"/>
      <c r="J34" s="479">
        <f xml:space="preserve"> 0.5*5*K14/1000</f>
        <v>5.5555555555555554</v>
      </c>
      <c r="K34" s="266" t="s">
        <v>349</v>
      </c>
    </row>
    <row r="35" spans="4:14" ht="15" customHeight="1" x14ac:dyDescent="0.2">
      <c r="G35" s="169"/>
      <c r="I35" s="478" t="s">
        <v>1822</v>
      </c>
      <c r="J35" s="286">
        <f>J33+J34</f>
        <v>10</v>
      </c>
      <c r="K35" s="169" t="s">
        <v>349</v>
      </c>
    </row>
    <row r="36" spans="4:14" ht="15" customHeight="1" x14ac:dyDescent="0.2"/>
    <row r="37" spans="4:14" s="34" customFormat="1" ht="15" customHeight="1" x14ac:dyDescent="0.25">
      <c r="E37" s="164" t="s">
        <v>670</v>
      </c>
    </row>
    <row r="38" spans="4:14" ht="15" customHeight="1" x14ac:dyDescent="0.2">
      <c r="E38" s="266" t="s">
        <v>364</v>
      </c>
      <c r="F38" s="213"/>
      <c r="G38" s="169"/>
      <c r="J38" s="286">
        <f>0.5*8*K14/1000</f>
        <v>8.8888888888888893</v>
      </c>
      <c r="K38" s="266" t="s">
        <v>349</v>
      </c>
    </row>
    <row r="39" spans="4:14" ht="15" customHeight="1" x14ac:dyDescent="0.2">
      <c r="E39" s="266" t="s">
        <v>363</v>
      </c>
      <c r="G39" s="169"/>
      <c r="J39" s="286">
        <f>0.5*10*K14/1000</f>
        <v>11.111111111111111</v>
      </c>
      <c r="K39" s="266" t="s">
        <v>349</v>
      </c>
    </row>
    <row r="40" spans="4:14" ht="15" customHeight="1" x14ac:dyDescent="0.2">
      <c r="G40" s="169"/>
      <c r="I40" s="478" t="s">
        <v>1822</v>
      </c>
      <c r="J40" s="286">
        <f>J38+J39</f>
        <v>20</v>
      </c>
      <c r="K40" s="169" t="s">
        <v>349</v>
      </c>
    </row>
    <row r="41" spans="4:14" ht="15" customHeight="1" x14ac:dyDescent="0.2">
      <c r="G41" s="169"/>
    </row>
    <row r="42" spans="4:14" ht="15" customHeight="1" x14ac:dyDescent="0.2">
      <c r="D42" s="49"/>
    </row>
    <row r="43" spans="4:14" ht="15" customHeight="1" x14ac:dyDescent="0.2">
      <c r="D43" s="273"/>
      <c r="E43" s="263"/>
    </row>
    <row r="44" spans="4:14" ht="15" customHeight="1" x14ac:dyDescent="0.2">
      <c r="D44" s="273"/>
      <c r="E44" s="263"/>
    </row>
    <row r="45" spans="4:14" ht="15" customHeight="1" x14ac:dyDescent="0.2">
      <c r="D45" s="273"/>
      <c r="E45" s="263"/>
    </row>
    <row r="46" spans="4:14" ht="15" customHeight="1" x14ac:dyDescent="0.2">
      <c r="D46" s="273"/>
      <c r="E46" s="263"/>
    </row>
    <row r="47" spans="4:14" ht="15" customHeight="1" x14ac:dyDescent="0.2">
      <c r="D47" s="273"/>
      <c r="E47" s="263"/>
    </row>
    <row r="48" spans="4:14" ht="15" customHeight="1" x14ac:dyDescent="0.2">
      <c r="D48" s="273"/>
    </row>
    <row r="49" spans="3:12" ht="15" customHeight="1" x14ac:dyDescent="0.2">
      <c r="D49" s="49"/>
    </row>
    <row r="50" spans="3:12" ht="15" customHeight="1" x14ac:dyDescent="0.2">
      <c r="D50" s="49"/>
    </row>
    <row r="51" spans="3:12" ht="15" customHeight="1" x14ac:dyDescent="0.2"/>
    <row r="52" spans="3:12" ht="15" customHeight="1" x14ac:dyDescent="0.2">
      <c r="I52" s="60"/>
      <c r="J52" s="60"/>
    </row>
    <row r="53" spans="3:12" ht="15" customHeight="1" x14ac:dyDescent="0.2"/>
    <row r="54" spans="3:12" ht="15" customHeight="1" x14ac:dyDescent="0.2">
      <c r="H54" s="60"/>
      <c r="I54" s="60"/>
      <c r="J54" s="60"/>
      <c r="K54" s="60"/>
      <c r="L54" s="60"/>
    </row>
    <row r="55" spans="3:12" ht="15" customHeight="1" x14ac:dyDescent="0.2">
      <c r="C55" s="256"/>
      <c r="D55" s="225" t="s">
        <v>891</v>
      </c>
      <c r="E55" s="719"/>
      <c r="F55" s="719"/>
      <c r="G55" s="266" t="s">
        <v>1184</v>
      </c>
      <c r="H55" s="60"/>
      <c r="I55" s="265"/>
      <c r="J55" s="265"/>
      <c r="K55" s="265"/>
      <c r="L55" s="60"/>
    </row>
    <row r="56" spans="3:12" ht="15" customHeight="1" x14ac:dyDescent="0.2">
      <c r="H56" s="265"/>
      <c r="I56" s="265"/>
      <c r="J56" s="265"/>
      <c r="K56" s="265"/>
      <c r="L56" s="60"/>
    </row>
  </sheetData>
  <sheetProtection algorithmName="SHA-512" hashValue="LF1MHHA2zKj3+O9AAl2jHGrsUz9BIbwOBekUKoLhNZIvOYqtLqoLWl4S2Njg3fYGkTW/QzvyDuHuT5fcpWPBew==" saltValue="Ehled7hHhq2sgpOnG4A8iQ==" spinCount="100000" sheet="1" objects="1" scenarios="1" selectLockedCells="1"/>
  <mergeCells count="4">
    <mergeCell ref="E9:M9"/>
    <mergeCell ref="E55:F55"/>
    <mergeCell ref="E10:M10"/>
    <mergeCell ref="C6:N6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4:S25"/>
  <sheetViews>
    <sheetView showGridLines="0" showRowColHeaders="0" tabSelected="1" zoomScaleNormal="100" zoomScaleSheetLayoutView="100" workbookViewId="0">
      <selection activeCell="H1" sqref="H1"/>
    </sheetView>
  </sheetViews>
  <sheetFormatPr defaultColWidth="0" defaultRowHeight="24.95" customHeight="1" x14ac:dyDescent="0.2"/>
  <cols>
    <col min="1" max="19" width="9.140625" style="27" customWidth="1"/>
    <col min="20" max="16384" width="9.140625" style="27" hidden="1"/>
  </cols>
  <sheetData>
    <row r="4" spans="1:19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9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9" ht="24.95" customHeight="1" x14ac:dyDescent="0.2">
      <c r="G6" s="688" t="s">
        <v>1744</v>
      </c>
      <c r="H6" s="688"/>
      <c r="I6" s="688"/>
      <c r="J6" s="688"/>
      <c r="K6" s="66"/>
      <c r="L6" s="66"/>
      <c r="M6" s="66"/>
      <c r="N6" s="66"/>
      <c r="O6" s="66"/>
      <c r="P6" s="66"/>
      <c r="Q6" s="66"/>
      <c r="R6" s="66"/>
      <c r="S6" s="66"/>
    </row>
    <row r="9" spans="1:19" s="68" customFormat="1" ht="24.95" customHeight="1" x14ac:dyDescent="0.2">
      <c r="A9" s="67"/>
      <c r="B9" s="67"/>
      <c r="C9" s="67"/>
      <c r="D9" s="67"/>
      <c r="E9" s="67"/>
      <c r="F9" s="67"/>
      <c r="G9" s="67"/>
      <c r="H9" s="67"/>
      <c r="I9" s="67"/>
      <c r="J9" s="67"/>
    </row>
    <row r="10" spans="1:19" ht="24.95" customHeight="1" x14ac:dyDescent="0.2">
      <c r="C10" s="69"/>
      <c r="D10" s="69"/>
      <c r="E10" s="69"/>
      <c r="F10" s="69"/>
      <c r="G10" s="69"/>
      <c r="H10" s="69"/>
    </row>
    <row r="11" spans="1:19" ht="24.95" customHeight="1" x14ac:dyDescent="0.2">
      <c r="C11" s="69"/>
      <c r="D11" s="69"/>
      <c r="E11" s="69"/>
      <c r="F11" s="69"/>
      <c r="G11" s="69"/>
      <c r="H11" s="69"/>
    </row>
    <row r="12" spans="1:19" ht="24.95" customHeight="1" x14ac:dyDescent="0.2">
      <c r="C12" s="69"/>
      <c r="D12" s="69"/>
      <c r="E12" s="69"/>
      <c r="F12" s="69"/>
      <c r="G12" s="69"/>
      <c r="H12" s="69"/>
    </row>
    <row r="13" spans="1:19" ht="24.95" customHeight="1" x14ac:dyDescent="0.2">
      <c r="C13" s="69"/>
      <c r="D13" s="69"/>
      <c r="E13" s="69"/>
      <c r="F13" s="69"/>
      <c r="G13" s="69"/>
      <c r="H13" s="69"/>
    </row>
    <row r="14" spans="1:19" ht="24.95" customHeight="1" x14ac:dyDescent="0.2">
      <c r="C14" s="69"/>
      <c r="D14" s="69"/>
      <c r="E14" s="69"/>
      <c r="F14" s="69"/>
      <c r="G14" s="69"/>
      <c r="H14" s="69"/>
    </row>
    <row r="15" spans="1:19" ht="24.95" customHeight="1" x14ac:dyDescent="0.2">
      <c r="C15" s="69"/>
      <c r="D15" s="69"/>
      <c r="E15" s="69"/>
      <c r="F15" s="69"/>
      <c r="G15" s="69"/>
      <c r="H15" s="69"/>
    </row>
    <row r="16" spans="1:19" ht="24.95" customHeight="1" x14ac:dyDescent="0.2">
      <c r="C16" s="69"/>
      <c r="D16" s="69"/>
      <c r="E16" s="69"/>
      <c r="F16" s="69"/>
      <c r="G16" s="69"/>
      <c r="H16" s="69"/>
    </row>
    <row r="17" spans="1:16" ht="24.95" customHeight="1" x14ac:dyDescent="0.2">
      <c r="C17" s="69"/>
      <c r="D17" s="69"/>
      <c r="E17" s="69"/>
      <c r="F17" s="69"/>
      <c r="G17" s="69"/>
      <c r="H17" s="69"/>
    </row>
    <row r="18" spans="1:16" ht="24.95" customHeight="1" x14ac:dyDescent="0.2">
      <c r="C18" s="69"/>
      <c r="D18" s="69"/>
      <c r="E18" s="69"/>
      <c r="F18" s="69"/>
      <c r="G18" s="69"/>
      <c r="H18" s="69"/>
    </row>
    <row r="19" spans="1:16" ht="24.95" customHeight="1" x14ac:dyDescent="0.2">
      <c r="C19" s="69"/>
      <c r="D19" s="69"/>
      <c r="E19" s="69"/>
      <c r="F19" s="69"/>
      <c r="G19" s="69"/>
      <c r="H19" s="69"/>
    </row>
    <row r="20" spans="1:16" ht="24.95" customHeight="1" x14ac:dyDescent="0.2">
      <c r="C20" s="69"/>
      <c r="D20" s="69"/>
      <c r="E20" s="69"/>
      <c r="F20" s="69"/>
      <c r="G20" s="69"/>
      <c r="H20" s="69"/>
    </row>
    <row r="21" spans="1:16" ht="24.95" customHeight="1" x14ac:dyDescent="0.2">
      <c r="C21" s="69"/>
      <c r="D21" s="69"/>
      <c r="E21" s="69"/>
      <c r="F21" s="69"/>
      <c r="G21" s="69"/>
      <c r="H21" s="69"/>
    </row>
    <row r="22" spans="1:16" ht="24.95" customHeight="1" x14ac:dyDescent="0.2">
      <c r="C22" s="69"/>
      <c r="D22" s="69"/>
      <c r="E22" s="69"/>
      <c r="F22" s="69"/>
      <c r="G22" s="69"/>
      <c r="H22" s="69"/>
    </row>
    <row r="23" spans="1:16" ht="24.95" customHeight="1" x14ac:dyDescent="0.2">
      <c r="C23" s="70"/>
      <c r="D23" s="70"/>
      <c r="E23" s="70"/>
      <c r="F23" s="70"/>
      <c r="G23" s="70"/>
      <c r="H23" s="70"/>
    </row>
    <row r="24" spans="1:16" ht="24.95" customHeight="1" x14ac:dyDescent="0.25">
      <c r="A24" s="71"/>
      <c r="C24" s="64"/>
      <c r="D24" s="64"/>
      <c r="E24" s="64"/>
      <c r="F24" s="64"/>
      <c r="G24" s="64"/>
      <c r="H24" s="64"/>
      <c r="I24" s="64"/>
      <c r="J24" s="64"/>
    </row>
    <row r="25" spans="1:16" ht="24.95" customHeight="1" x14ac:dyDescent="0.2">
      <c r="A25" s="65"/>
      <c r="B25" s="65"/>
      <c r="C25" s="65"/>
      <c r="D25" s="65"/>
      <c r="E25" s="65"/>
      <c r="F25" s="65"/>
      <c r="G25" s="65"/>
      <c r="H25" s="65"/>
      <c r="I25" s="65"/>
      <c r="J25" s="72"/>
      <c r="K25" s="72"/>
      <c r="L25" s="72"/>
      <c r="M25" s="72"/>
      <c r="N25" s="72"/>
      <c r="O25" s="72"/>
      <c r="P25" s="72"/>
    </row>
  </sheetData>
  <sheetProtection algorithmName="SHA-512" hashValue="Nh8Wp09zTuh4LFf2U6kn41ogHPH2g/ZFaP2iGnKJY6d0mEOJY3xAlFvG8Cd7XqQann5s06zsU0oxgsUkks1CZA==" saltValue="54wOBUfoA6I0tsPbk/7nTw==" spinCount="100000" sheet="1" objects="1" scenarios="1"/>
  <mergeCells count="1">
    <mergeCell ref="G6:J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70" orientation="portrait" cellComments="atEnd" horizontalDpi="360" verticalDpi="36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pageSetUpPr fitToPage="1"/>
  </sheetPr>
  <dimension ref="A1:AB56"/>
  <sheetViews>
    <sheetView showGridLines="0" showRowColHeaders="0" zoomScaleNormal="100" zoomScaleSheetLayoutView="100" workbookViewId="0">
      <selection activeCell="E9" sqref="E9:M9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8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s="429" customFormat="1" ht="24.95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28"/>
      <c r="Y4" s="266"/>
      <c r="Z4" s="266"/>
      <c r="AA4" s="266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24"/>
    </row>
    <row r="6" spans="1:28" ht="24.95" customHeight="1" x14ac:dyDescent="0.2">
      <c r="A6" s="27"/>
      <c r="B6" s="27"/>
      <c r="C6" s="27"/>
      <c r="D6" s="688" t="s">
        <v>1823</v>
      </c>
      <c r="E6" s="688"/>
      <c r="F6" s="688"/>
      <c r="G6" s="688"/>
      <c r="H6" s="688"/>
      <c r="I6" s="688"/>
      <c r="J6" s="688"/>
      <c r="K6" s="688"/>
      <c r="L6" s="688"/>
      <c r="M6" s="688"/>
      <c r="N6" s="27"/>
      <c r="O6" s="27"/>
      <c r="P6" s="27"/>
      <c r="Q6" s="27"/>
    </row>
    <row r="7" spans="1:28" ht="15" customHeight="1" x14ac:dyDescent="0.2">
      <c r="A7" s="27"/>
      <c r="B7" s="27"/>
      <c r="C7" s="27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7"/>
      <c r="O7" s="27"/>
      <c r="P7" s="27"/>
      <c r="Q7" s="27"/>
    </row>
    <row r="8" spans="1:28" ht="15" customHeight="1" x14ac:dyDescent="0.2"/>
    <row r="9" spans="1:28" s="164" customFormat="1" ht="15" customHeight="1" x14ac:dyDescent="0.25">
      <c r="C9" s="311"/>
      <c r="D9" s="391" t="s">
        <v>458</v>
      </c>
      <c r="E9" s="721"/>
      <c r="F9" s="721"/>
      <c r="G9" s="721"/>
      <c r="H9" s="721"/>
      <c r="I9" s="721"/>
      <c r="J9" s="721"/>
      <c r="K9" s="721"/>
      <c r="L9" s="721"/>
      <c r="M9" s="721"/>
      <c r="N9" s="311"/>
      <c r="O9" s="311"/>
      <c r="P9" s="311"/>
      <c r="Q9" s="311"/>
      <c r="R9" s="207"/>
      <c r="S9" s="311"/>
    </row>
    <row r="10" spans="1:28" s="164" customFormat="1" ht="15" customHeight="1" x14ac:dyDescent="0.25">
      <c r="C10" s="311"/>
      <c r="D10" s="391" t="s">
        <v>832</v>
      </c>
      <c r="E10" s="722"/>
      <c r="F10" s="723"/>
      <c r="G10" s="723"/>
      <c r="H10" s="723"/>
      <c r="I10" s="723"/>
      <c r="J10" s="723"/>
      <c r="K10" s="723"/>
      <c r="L10" s="723"/>
      <c r="M10" s="724"/>
      <c r="N10" s="311"/>
      <c r="O10" s="311"/>
      <c r="P10" s="311"/>
      <c r="Q10" s="311"/>
      <c r="R10" s="207"/>
      <c r="S10" s="311"/>
    </row>
    <row r="11" spans="1:28" ht="15" customHeight="1" x14ac:dyDescent="0.2">
      <c r="AA11" s="208"/>
      <c r="AB11" s="283"/>
    </row>
    <row r="12" spans="1:28" ht="15" customHeight="1" x14ac:dyDescent="0.2">
      <c r="D12" s="296" t="s">
        <v>792</v>
      </c>
      <c r="E12" s="296"/>
      <c r="G12" s="237">
        <v>5</v>
      </c>
      <c r="H12" s="265" t="s">
        <v>352</v>
      </c>
      <c r="I12" s="237">
        <v>3</v>
      </c>
      <c r="J12" s="272" t="s">
        <v>672</v>
      </c>
      <c r="K12" s="463">
        <f>(10000/(G12*I12))</f>
        <v>666.66666666666663</v>
      </c>
      <c r="L12" s="266" t="s">
        <v>353</v>
      </c>
    </row>
    <row r="13" spans="1:28" ht="15" customHeight="1" x14ac:dyDescent="0.2">
      <c r="D13" s="296" t="s">
        <v>367</v>
      </c>
      <c r="E13" s="296"/>
      <c r="G13" s="237">
        <v>1500</v>
      </c>
      <c r="H13" s="273" t="s">
        <v>445</v>
      </c>
      <c r="K13" s="27"/>
      <c r="L13" s="27"/>
      <c r="N13" s="27"/>
      <c r="Q13" s="27"/>
      <c r="T13" s="218">
        <f>(G13/60)/1.12</f>
        <v>22.321428571428569</v>
      </c>
      <c r="U13" s="27" t="s">
        <v>368</v>
      </c>
    </row>
    <row r="14" spans="1:28" ht="15" customHeight="1" x14ac:dyDescent="0.2">
      <c r="D14" s="296" t="s">
        <v>1311</v>
      </c>
      <c r="E14" s="296"/>
      <c r="G14" s="237">
        <v>10</v>
      </c>
      <c r="H14" s="273" t="s">
        <v>278</v>
      </c>
      <c r="K14" s="208"/>
      <c r="L14" s="208"/>
      <c r="Q14" s="281"/>
      <c r="T14" s="432">
        <f>226.417+(2.465*T13)-10.975*G16</f>
        <v>215.58932142857142</v>
      </c>
      <c r="U14" s="281" t="s">
        <v>343</v>
      </c>
    </row>
    <row r="15" spans="1:28" ht="15" customHeight="1" x14ac:dyDescent="0.2">
      <c r="D15" s="296" t="s">
        <v>1312</v>
      </c>
      <c r="E15" s="296"/>
      <c r="G15" s="237">
        <v>120</v>
      </c>
      <c r="H15" s="273" t="s">
        <v>278</v>
      </c>
      <c r="K15" s="208"/>
      <c r="L15" s="208"/>
      <c r="Q15" s="281"/>
      <c r="T15" s="279">
        <f xml:space="preserve"> IF(T14&gt;0,T14,0)</f>
        <v>215.58932142857142</v>
      </c>
      <c r="U15" s="281" t="s">
        <v>343</v>
      </c>
    </row>
    <row r="16" spans="1:28" ht="15" customHeight="1" x14ac:dyDescent="0.2">
      <c r="D16" s="296" t="s">
        <v>976</v>
      </c>
      <c r="E16" s="296"/>
      <c r="G16" s="237">
        <v>6</v>
      </c>
      <c r="H16" s="273" t="s">
        <v>341</v>
      </c>
    </row>
    <row r="17" spans="4:26" ht="15" customHeight="1" x14ac:dyDescent="0.3">
      <c r="D17" s="267" t="s">
        <v>897</v>
      </c>
      <c r="E17" s="464"/>
      <c r="G17" s="237">
        <v>20</v>
      </c>
      <c r="H17" s="273" t="s">
        <v>977</v>
      </c>
      <c r="Q17" s="275"/>
      <c r="T17" s="279">
        <f>189+0.537*T13-8.26*G14-2.1*G17</f>
        <v>76.386607142857144</v>
      </c>
      <c r="U17" s="275" t="s">
        <v>721</v>
      </c>
    </row>
    <row r="18" spans="4:26" ht="15" customHeight="1" x14ac:dyDescent="0.3">
      <c r="D18" s="283" t="s">
        <v>562</v>
      </c>
      <c r="E18" s="283"/>
      <c r="F18" s="283"/>
      <c r="G18" s="237">
        <v>30</v>
      </c>
      <c r="H18" s="49" t="s">
        <v>341</v>
      </c>
      <c r="J18" s="283"/>
      <c r="K18" s="281"/>
      <c r="Q18" s="275"/>
      <c r="T18" s="279">
        <f>IF(T17&gt;0,T17,0)</f>
        <v>76.386607142857144</v>
      </c>
      <c r="U18" s="275" t="s">
        <v>721</v>
      </c>
    </row>
    <row r="19" spans="4:26" ht="15" customHeight="1" x14ac:dyDescent="0.3">
      <c r="D19" s="275" t="s">
        <v>564</v>
      </c>
      <c r="E19" s="275"/>
      <c r="F19" s="275"/>
      <c r="G19" s="237">
        <v>8</v>
      </c>
      <c r="H19" s="49" t="s">
        <v>1784</v>
      </c>
      <c r="J19" s="275"/>
      <c r="K19" s="281"/>
    </row>
    <row r="20" spans="4:26" ht="15" customHeight="1" x14ac:dyDescent="0.3">
      <c r="D20" s="283" t="s">
        <v>565</v>
      </c>
      <c r="E20" s="283"/>
      <c r="F20" s="283"/>
      <c r="G20" s="237">
        <v>90</v>
      </c>
      <c r="H20" s="49" t="s">
        <v>341</v>
      </c>
      <c r="J20" s="283"/>
      <c r="K20" s="281"/>
      <c r="Q20" s="275"/>
      <c r="T20" s="279">
        <f>236.47+2.381*T13-1.21*G15</f>
        <v>144.41732142857143</v>
      </c>
      <c r="U20" s="275" t="s">
        <v>13</v>
      </c>
    </row>
    <row r="21" spans="4:26" ht="15" customHeight="1" x14ac:dyDescent="0.3">
      <c r="D21" s="266" t="s">
        <v>566</v>
      </c>
      <c r="E21" s="280"/>
      <c r="F21" s="283"/>
      <c r="G21" s="237">
        <v>2222</v>
      </c>
      <c r="H21" s="273" t="s">
        <v>567</v>
      </c>
      <c r="J21" s="283"/>
      <c r="Q21" s="275"/>
      <c r="T21" s="310">
        <f>IF(T20&gt;0,T20,0)</f>
        <v>144.41732142857143</v>
      </c>
      <c r="U21" s="275" t="s">
        <v>13</v>
      </c>
    </row>
    <row r="22" spans="4:26" ht="15" customHeight="1" x14ac:dyDescent="0.2">
      <c r="H22" s="49"/>
      <c r="J22" s="283"/>
      <c r="K22" s="281"/>
      <c r="M22" s="279"/>
    </row>
    <row r="23" spans="4:26" ht="15" customHeight="1" x14ac:dyDescent="0.2">
      <c r="D23" s="266" t="s">
        <v>469</v>
      </c>
      <c r="G23" s="237">
        <v>1.5</v>
      </c>
      <c r="H23" s="49" t="s">
        <v>828</v>
      </c>
      <c r="J23" s="283"/>
      <c r="K23" s="281"/>
      <c r="M23" s="279"/>
    </row>
    <row r="24" spans="4:26" ht="15" customHeight="1" x14ac:dyDescent="0.2">
      <c r="G24" s="237">
        <v>0.9</v>
      </c>
      <c r="H24" s="49" t="s">
        <v>462</v>
      </c>
      <c r="J24" s="283"/>
      <c r="K24" s="281"/>
      <c r="M24" s="279"/>
    </row>
    <row r="25" spans="4:26" ht="15" customHeight="1" x14ac:dyDescent="0.2">
      <c r="G25" s="237">
        <v>1.2</v>
      </c>
      <c r="H25" s="49" t="s">
        <v>463</v>
      </c>
      <c r="J25" s="283"/>
      <c r="K25" s="281"/>
    </row>
    <row r="26" spans="4:26" ht="15" customHeight="1" x14ac:dyDescent="0.2">
      <c r="G26" s="237">
        <v>40</v>
      </c>
      <c r="H26" s="49" t="s">
        <v>464</v>
      </c>
      <c r="J26" s="283"/>
      <c r="K26" s="281"/>
    </row>
    <row r="27" spans="4:26" ht="15" customHeight="1" x14ac:dyDescent="0.2">
      <c r="D27" s="275"/>
      <c r="E27" s="275"/>
      <c r="F27" s="281"/>
      <c r="G27" s="281"/>
      <c r="H27" s="281"/>
      <c r="I27" s="280"/>
      <c r="M27" s="49"/>
      <c r="R27" s="208"/>
      <c r="S27" s="208"/>
    </row>
    <row r="28" spans="4:26" ht="15" customHeight="1" x14ac:dyDescent="0.2">
      <c r="D28" s="277" t="s">
        <v>573</v>
      </c>
      <c r="E28" s="220">
        <f>IF(T34&gt;0,T34,0)</f>
        <v>2.6666666666666665</v>
      </c>
      <c r="F28" s="280" t="s">
        <v>1143</v>
      </c>
      <c r="H28" s="313"/>
      <c r="J28" s="280"/>
      <c r="M28" s="49"/>
      <c r="S28" s="208"/>
      <c r="T28" s="279"/>
    </row>
    <row r="29" spans="4:26" ht="15" customHeight="1" x14ac:dyDescent="0.2">
      <c r="F29" s="296"/>
      <c r="G29" s="208"/>
      <c r="H29" s="465"/>
      <c r="I29" s="208"/>
      <c r="J29" s="280"/>
      <c r="M29" s="49"/>
    </row>
    <row r="30" spans="4:26" ht="15" customHeight="1" x14ac:dyDescent="0.2">
      <c r="D30" s="169" t="s">
        <v>568</v>
      </c>
      <c r="E30" s="169"/>
      <c r="G30" s="224">
        <f>T15</f>
        <v>215.58932142857142</v>
      </c>
      <c r="H30" s="273" t="s">
        <v>569</v>
      </c>
      <c r="I30" s="279"/>
      <c r="L30" s="279"/>
      <c r="M30" s="281"/>
    </row>
    <row r="31" spans="4:26" ht="15" customHeight="1" x14ac:dyDescent="0.2">
      <c r="G31" s="224">
        <f>T18/2.3</f>
        <v>33.211568322981371</v>
      </c>
      <c r="H31" s="273" t="s">
        <v>472</v>
      </c>
      <c r="I31" s="279"/>
      <c r="L31" s="279"/>
      <c r="M31" s="272"/>
      <c r="N31" s="208"/>
      <c r="S31" s="208"/>
      <c r="Y31" s="208"/>
      <c r="Z31" s="283"/>
    </row>
    <row r="32" spans="4:26" ht="15" customHeight="1" x14ac:dyDescent="0.2">
      <c r="G32" s="224">
        <f>T21/1.2</f>
        <v>120.34776785714286</v>
      </c>
      <c r="H32" s="273" t="s">
        <v>473</v>
      </c>
      <c r="I32" s="279"/>
      <c r="L32" s="279"/>
      <c r="M32" s="283"/>
      <c r="N32" s="208"/>
      <c r="S32" s="208"/>
      <c r="Y32" s="208"/>
      <c r="Z32" s="283"/>
    </row>
    <row r="33" spans="4:26" ht="15" customHeight="1" x14ac:dyDescent="0.2">
      <c r="F33" s="296"/>
      <c r="G33" s="208"/>
      <c r="H33" s="208"/>
      <c r="I33" s="208"/>
      <c r="J33" s="280"/>
      <c r="M33" s="27"/>
      <c r="N33" s="208"/>
      <c r="S33" s="208"/>
      <c r="Y33" s="208"/>
      <c r="Z33" s="283"/>
    </row>
    <row r="34" spans="4:26" ht="15" customHeight="1" x14ac:dyDescent="0.2">
      <c r="D34" s="277" t="s">
        <v>1660</v>
      </c>
      <c r="E34" s="277"/>
      <c r="I34" s="316" t="s">
        <v>1661</v>
      </c>
      <c r="J34" s="237">
        <v>2</v>
      </c>
      <c r="M34" s="263"/>
      <c r="T34" s="441">
        <f xml:space="preserve"> G19*(60-G18)/G20</f>
        <v>2.6666666666666665</v>
      </c>
      <c r="U34" s="266" t="s">
        <v>483</v>
      </c>
    </row>
    <row r="35" spans="4:26" ht="15" customHeight="1" x14ac:dyDescent="0.2">
      <c r="D35" s="257">
        <f>J34</f>
        <v>2</v>
      </c>
      <c r="E35" s="352" t="str">
        <f>"Aplicação(ões) de "&amp;ROUND(T38,1)&amp;" kg/planta de Adubo Orgânico."</f>
        <v>Aplicação(ões) de 18 kg/planta de Adubo Orgânico.</v>
      </c>
      <c r="J35" s="222"/>
      <c r="K35" s="170"/>
      <c r="L35" s="220"/>
      <c r="M35" s="263"/>
      <c r="R35" s="27"/>
      <c r="T35" s="230">
        <f>(100-G26)/100</f>
        <v>0.6</v>
      </c>
      <c r="U35" s="266" t="s">
        <v>467</v>
      </c>
    </row>
    <row r="36" spans="4:26" s="305" customFormat="1" ht="15" customHeight="1" x14ac:dyDescent="0.2">
      <c r="D36" s="257">
        <v>1</v>
      </c>
      <c r="E36" s="352" t="str">
        <f>"Aplicação(ões) de "&amp;ROUND((T41/K12)*1000,1)&amp;" g/planta de Fosfato Natural."</f>
        <v>Aplicação(ões) de 0 g/planta de Fosfato Natural.</v>
      </c>
      <c r="I36" s="213"/>
      <c r="J36" s="219"/>
      <c r="L36" s="276"/>
      <c r="M36" s="263"/>
      <c r="Q36" s="266"/>
      <c r="R36" s="266"/>
      <c r="T36" s="447">
        <f>(((100/G23)*G30)/1000)</f>
        <v>14.372621428571428</v>
      </c>
      <c r="U36" s="266" t="s">
        <v>466</v>
      </c>
    </row>
    <row r="37" spans="4:26" s="305" customFormat="1" ht="15" customHeight="1" x14ac:dyDescent="0.2">
      <c r="D37" s="257">
        <v>1</v>
      </c>
      <c r="E37" s="352" t="str">
        <f>"Aplicação(ões) de "&amp;ROUND((T45/K12)*1000,1)&amp;" g/planta  de K."</f>
        <v>Aplicação(ões) de 0 g/planta  de K.</v>
      </c>
      <c r="I37" s="213"/>
      <c r="J37" s="222"/>
      <c r="L37" s="224"/>
      <c r="M37" s="263"/>
      <c r="Q37" s="266"/>
      <c r="R37" s="266"/>
      <c r="T37" s="274">
        <f>T36/T35</f>
        <v>23.954369047619046</v>
      </c>
      <c r="U37" s="266" t="s">
        <v>468</v>
      </c>
    </row>
    <row r="38" spans="4:26" s="281" customFormat="1" ht="15" customHeight="1" x14ac:dyDescent="0.2">
      <c r="D38" s="466"/>
      <c r="E38" s="467"/>
      <c r="F38" s="467"/>
      <c r="G38" s="276"/>
      <c r="H38" s="266"/>
      <c r="M38" s="263"/>
      <c r="Q38" s="305"/>
      <c r="R38" s="305"/>
      <c r="T38" s="441">
        <f>((T37/K12)*1000)/J34</f>
        <v>17.965776785714283</v>
      </c>
      <c r="U38" s="305" t="s">
        <v>471</v>
      </c>
    </row>
    <row r="39" spans="4:26" ht="15" customHeight="1" x14ac:dyDescent="0.2">
      <c r="D39" s="219" t="s">
        <v>675</v>
      </c>
      <c r="E39" s="219"/>
      <c r="K39" s="272"/>
      <c r="L39" s="272"/>
      <c r="M39" s="281"/>
      <c r="N39" s="272"/>
      <c r="R39" s="272"/>
      <c r="S39" s="289"/>
      <c r="T39" s="447">
        <f>T36*(G24/100)*1000</f>
        <v>129.35359285714287</v>
      </c>
      <c r="U39" s="266" t="s">
        <v>474</v>
      </c>
    </row>
    <row r="40" spans="4:26" s="281" customFormat="1" ht="15" customHeight="1" x14ac:dyDescent="0.2">
      <c r="D40" s="426" t="s">
        <v>585</v>
      </c>
      <c r="E40" s="426"/>
      <c r="F40" s="468"/>
      <c r="G40" s="427" t="s">
        <v>575</v>
      </c>
      <c r="H40" s="468"/>
      <c r="I40" s="469" t="s">
        <v>580</v>
      </c>
      <c r="J40" s="470">
        <f>G21/K12</f>
        <v>3.3330000000000002</v>
      </c>
      <c r="K40" s="426" t="s">
        <v>575</v>
      </c>
      <c r="N40" s="283"/>
      <c r="Q40" s="208"/>
      <c r="R40" s="272"/>
      <c r="T40" s="274">
        <f>(G31-T39)*10</f>
        <v>-961.42024534161487</v>
      </c>
      <c r="U40" s="275" t="s">
        <v>475</v>
      </c>
    </row>
    <row r="41" spans="4:26" s="281" customFormat="1" ht="15" customHeight="1" x14ac:dyDescent="0.2">
      <c r="D41" s="27" t="s">
        <v>481</v>
      </c>
      <c r="E41" s="27"/>
      <c r="F41" s="27"/>
      <c r="G41" s="218">
        <f>T37</f>
        <v>23.954369047619046</v>
      </c>
      <c r="H41" s="263"/>
      <c r="I41" s="218">
        <f>G41*J40</f>
        <v>79.839912035714292</v>
      </c>
      <c r="J41" s="218"/>
      <c r="K41" s="263"/>
      <c r="N41" s="283"/>
      <c r="Q41" s="275"/>
      <c r="T41" s="274">
        <f>IF(T40&gt;0,T40,0)</f>
        <v>0</v>
      </c>
      <c r="U41" s="275" t="s">
        <v>476</v>
      </c>
    </row>
    <row r="42" spans="4:26" s="281" customFormat="1" ht="15" customHeight="1" x14ac:dyDescent="0.2">
      <c r="D42" s="27" t="s">
        <v>480</v>
      </c>
      <c r="E42" s="27"/>
      <c r="F42" s="27"/>
      <c r="G42" s="218">
        <f>T41</f>
        <v>0</v>
      </c>
      <c r="H42" s="263"/>
      <c r="I42" s="218">
        <f>G42*J40</f>
        <v>0</v>
      </c>
      <c r="J42" s="218"/>
      <c r="K42" s="263"/>
      <c r="N42" s="283"/>
      <c r="Q42" s="283"/>
      <c r="R42" s="283"/>
      <c r="T42" s="283"/>
      <c r="U42" s="283"/>
    </row>
    <row r="43" spans="4:26" s="281" customFormat="1" ht="15" customHeight="1" x14ac:dyDescent="0.2">
      <c r="D43" s="27" t="s">
        <v>366</v>
      </c>
      <c r="E43" s="27"/>
      <c r="F43" s="27"/>
      <c r="G43" s="471">
        <f>T45</f>
        <v>0</v>
      </c>
      <c r="H43" s="263"/>
      <c r="I43" s="218">
        <f>G43*J40</f>
        <v>0</v>
      </c>
      <c r="J43" s="218"/>
      <c r="K43" s="263"/>
      <c r="N43" s="283"/>
      <c r="Q43" s="266"/>
      <c r="R43" s="272"/>
      <c r="T43" s="447">
        <f>T36*(G25/100)*1000</f>
        <v>172.47145714285713</v>
      </c>
      <c r="U43" s="266" t="s">
        <v>477</v>
      </c>
    </row>
    <row r="44" spans="4:26" s="281" customFormat="1" ht="15" customHeight="1" x14ac:dyDescent="0.2">
      <c r="D44" s="332" t="s">
        <v>482</v>
      </c>
      <c r="E44" s="332"/>
      <c r="F44" s="332"/>
      <c r="G44" s="472">
        <f>T34*1000</f>
        <v>2666.6666666666665</v>
      </c>
      <c r="H44" s="258"/>
      <c r="I44" s="351">
        <f>G44*J40</f>
        <v>8888</v>
      </c>
      <c r="J44" s="473"/>
      <c r="K44" s="474"/>
      <c r="M44" s="296"/>
      <c r="N44" s="283"/>
      <c r="Q44" s="208"/>
      <c r="R44" s="272"/>
      <c r="T44" s="274">
        <f>(G32-T43)</f>
        <v>-52.123689285714278</v>
      </c>
      <c r="U44" s="275" t="s">
        <v>478</v>
      </c>
    </row>
    <row r="45" spans="4:26" s="281" customFormat="1" ht="15" customHeight="1" x14ac:dyDescent="0.2">
      <c r="D45" s="27"/>
      <c r="E45" s="27"/>
      <c r="F45" s="27"/>
      <c r="G45" s="218"/>
      <c r="H45" s="263"/>
      <c r="I45" s="263"/>
      <c r="J45" s="218"/>
      <c r="K45" s="263"/>
      <c r="L45" s="263"/>
      <c r="M45" s="296"/>
      <c r="N45" s="283"/>
      <c r="Q45" s="275"/>
      <c r="T45" s="274">
        <f>IF(T44&gt;0,T44,0)</f>
        <v>0</v>
      </c>
      <c r="U45" s="275" t="s">
        <v>479</v>
      </c>
    </row>
    <row r="46" spans="4:26" s="281" customFormat="1" ht="15" customHeight="1" x14ac:dyDescent="0.2">
      <c r="D46" s="277"/>
      <c r="E46" s="277"/>
      <c r="F46" s="275"/>
      <c r="M46" s="296"/>
      <c r="N46" s="283"/>
      <c r="O46" s="283"/>
      <c r="P46" s="283"/>
      <c r="Q46" s="283"/>
      <c r="R46" s="283"/>
    </row>
    <row r="47" spans="4:26" s="281" customFormat="1" ht="15" customHeight="1" x14ac:dyDescent="0.2">
      <c r="D47" s="277"/>
      <c r="E47" s="277"/>
      <c r="F47" s="275"/>
      <c r="M47" s="60"/>
    </row>
    <row r="48" spans="4:26" s="281" customFormat="1" ht="15" customHeight="1" x14ac:dyDescent="0.2">
      <c r="D48" s="275"/>
      <c r="E48" s="277"/>
      <c r="F48" s="275"/>
      <c r="M48" s="265"/>
    </row>
    <row r="49" spans="3:19" s="281" customFormat="1" ht="15" customHeight="1" x14ac:dyDescent="0.2">
      <c r="D49" s="275"/>
      <c r="E49" s="277"/>
      <c r="F49" s="275"/>
      <c r="M49" s="265"/>
    </row>
    <row r="50" spans="3:19" s="281" customFormat="1" ht="15" customHeight="1" x14ac:dyDescent="0.2">
      <c r="D50" s="273"/>
      <c r="E50" s="275"/>
      <c r="F50" s="275"/>
      <c r="M50" s="265"/>
    </row>
    <row r="51" spans="3:19" s="281" customFormat="1" ht="15" customHeight="1" x14ac:dyDescent="0.2">
      <c r="D51" s="60"/>
      <c r="E51" s="60"/>
      <c r="F51" s="296"/>
      <c r="G51" s="296"/>
      <c r="H51" s="296"/>
      <c r="I51" s="296"/>
      <c r="J51" s="296"/>
      <c r="K51" s="296"/>
      <c r="L51" s="296"/>
      <c r="M51" s="265"/>
    </row>
    <row r="52" spans="3:19" s="60" customFormat="1" ht="15" customHeight="1" x14ac:dyDescent="0.2">
      <c r="C52" s="296"/>
      <c r="D52" s="275"/>
      <c r="F52" s="296"/>
      <c r="G52" s="296"/>
      <c r="H52" s="296"/>
      <c r="I52" s="296"/>
      <c r="J52" s="296"/>
      <c r="K52" s="296"/>
      <c r="L52" s="296"/>
      <c r="M52" s="265"/>
      <c r="N52" s="296"/>
      <c r="O52" s="296"/>
      <c r="P52" s="296"/>
      <c r="Q52" s="296"/>
      <c r="R52" s="296"/>
      <c r="S52" s="296"/>
    </row>
    <row r="53" spans="3:19" s="60" customFormat="1" ht="15" customHeight="1" x14ac:dyDescent="0.2">
      <c r="C53" s="296"/>
      <c r="F53" s="296"/>
      <c r="G53" s="296"/>
      <c r="H53" s="296"/>
      <c r="I53" s="296"/>
      <c r="J53" s="296"/>
      <c r="K53" s="296"/>
      <c r="L53" s="296"/>
      <c r="M53" s="265"/>
      <c r="N53" s="296"/>
      <c r="O53" s="296"/>
      <c r="P53" s="296"/>
      <c r="Q53" s="296"/>
      <c r="R53" s="296"/>
      <c r="S53" s="296"/>
    </row>
    <row r="54" spans="3:19" s="60" customFormat="1" ht="15" customHeight="1" x14ac:dyDescent="0.2">
      <c r="C54" s="296"/>
      <c r="D54" s="226" t="s">
        <v>891</v>
      </c>
      <c r="E54" s="720"/>
      <c r="F54" s="720"/>
      <c r="G54" s="296" t="s">
        <v>794</v>
      </c>
      <c r="H54" s="296"/>
      <c r="J54" s="296"/>
      <c r="M54" s="265"/>
      <c r="N54" s="296"/>
      <c r="O54" s="296"/>
      <c r="P54" s="296"/>
      <c r="Q54" s="296"/>
      <c r="R54" s="296"/>
      <c r="S54" s="296"/>
    </row>
    <row r="55" spans="3:19" s="60" customFormat="1" ht="15" customHeight="1" x14ac:dyDescent="0.2">
      <c r="C55" s="296"/>
      <c r="D55" s="267"/>
      <c r="E55" s="267"/>
      <c r="F55" s="267"/>
      <c r="I55" s="714"/>
      <c r="J55" s="714"/>
      <c r="K55" s="714"/>
      <c r="L55" s="714"/>
      <c r="M55" s="265"/>
      <c r="N55" s="296"/>
      <c r="O55" s="296"/>
      <c r="P55" s="296"/>
      <c r="Q55" s="296"/>
      <c r="R55" s="296"/>
      <c r="S55" s="296"/>
    </row>
    <row r="56" spans="3:19" s="60" customFormat="1" ht="15" customHeight="1" x14ac:dyDescent="0.2">
      <c r="D56" s="267"/>
      <c r="E56" s="267"/>
      <c r="F56" s="267"/>
      <c r="I56" s="265"/>
      <c r="J56" s="265"/>
      <c r="K56" s="265"/>
      <c r="L56" s="265"/>
      <c r="M56" s="265"/>
    </row>
  </sheetData>
  <sheetProtection algorithmName="SHA-512" hashValue="ZIlsrVretkI7W9/HC4onZJDgqBEpc+fLJY/GDoNNgEGoBIL5NIq8QibsUMdg2fjgWR2K5BOaSNPDh7fupLMnCA==" saltValue="ZSAwOS+o2fVqG98Jbn7iFg==" spinCount="100000" sheet="1" objects="1" scenarios="1" selectLockedCells="1"/>
  <mergeCells count="5">
    <mergeCell ref="E54:F54"/>
    <mergeCell ref="I55:L55"/>
    <mergeCell ref="D6:M6"/>
    <mergeCell ref="E9:M9"/>
    <mergeCell ref="E10:M10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pageSetUpPr fitToPage="1"/>
  </sheetPr>
  <dimension ref="A1:AA83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7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7" s="429" customFormat="1" ht="24.95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28"/>
      <c r="R4" s="428"/>
      <c r="X4" s="266"/>
      <c r="Y4" s="266"/>
      <c r="Z4" s="266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R5" s="324"/>
    </row>
    <row r="6" spans="1:27" ht="24.95" customHeight="1" x14ac:dyDescent="0.2">
      <c r="A6" s="27"/>
      <c r="B6" s="27"/>
      <c r="C6" s="27"/>
      <c r="D6" s="27"/>
      <c r="E6" s="688" t="s">
        <v>1824</v>
      </c>
      <c r="F6" s="688"/>
      <c r="G6" s="688"/>
      <c r="H6" s="688"/>
      <c r="I6" s="688"/>
      <c r="J6" s="688"/>
      <c r="K6" s="688"/>
      <c r="N6" s="27"/>
      <c r="O6" s="27"/>
      <c r="P6" s="27"/>
      <c r="Q6" s="27"/>
      <c r="R6" s="27"/>
    </row>
    <row r="7" spans="1:27" ht="15" customHeight="1" x14ac:dyDescent="0.2">
      <c r="M7" s="27"/>
      <c r="N7" s="27"/>
      <c r="O7" s="27"/>
    </row>
    <row r="8" spans="1:27" s="164" customFormat="1" ht="15" customHeight="1" x14ac:dyDescent="0.25">
      <c r="C8" s="311"/>
      <c r="D8" s="227" t="s">
        <v>1313</v>
      </c>
      <c r="E8" s="696"/>
      <c r="F8" s="696"/>
      <c r="G8" s="696"/>
      <c r="H8" s="696"/>
      <c r="I8" s="696"/>
      <c r="J8" s="696"/>
      <c r="K8" s="696"/>
      <c r="L8" s="696"/>
      <c r="M8" s="696"/>
      <c r="N8" s="266"/>
      <c r="O8" s="266"/>
      <c r="P8" s="311"/>
      <c r="Q8" s="311"/>
      <c r="R8" s="311"/>
      <c r="S8" s="207"/>
    </row>
    <row r="9" spans="1:27" ht="15" customHeight="1" x14ac:dyDescent="0.2">
      <c r="D9" s="76"/>
      <c r="E9" s="76"/>
      <c r="F9" s="76"/>
      <c r="G9" s="76"/>
      <c r="H9" s="76"/>
      <c r="I9" s="76"/>
      <c r="J9" s="76"/>
      <c r="K9" s="76"/>
      <c r="L9" s="76"/>
      <c r="M9" s="371"/>
      <c r="Z9" s="208"/>
      <c r="AA9" s="283"/>
    </row>
    <row r="10" spans="1:27" ht="15" customHeight="1" x14ac:dyDescent="0.2">
      <c r="D10" s="86" t="s">
        <v>792</v>
      </c>
      <c r="E10" s="86"/>
      <c r="F10" s="76"/>
      <c r="G10" s="3">
        <v>3</v>
      </c>
      <c r="H10" s="361" t="s">
        <v>352</v>
      </c>
      <c r="I10" s="3">
        <v>1.5</v>
      </c>
      <c r="J10" s="375" t="s">
        <v>672</v>
      </c>
      <c r="K10" s="430">
        <f>(10000/(G10*I10))</f>
        <v>2222.2222222222222</v>
      </c>
      <c r="L10" s="76" t="s">
        <v>353</v>
      </c>
      <c r="M10" s="76"/>
    </row>
    <row r="11" spans="1:27" ht="15" customHeight="1" x14ac:dyDescent="0.2">
      <c r="D11" s="86" t="s">
        <v>431</v>
      </c>
      <c r="E11" s="86"/>
      <c r="F11" s="76"/>
      <c r="G11" s="234">
        <v>30</v>
      </c>
      <c r="H11" s="485" t="s">
        <v>434</v>
      </c>
      <c r="I11" s="76"/>
      <c r="J11" s="76"/>
      <c r="K11" s="86"/>
      <c r="L11" s="86"/>
      <c r="M11" s="76"/>
      <c r="P11" s="27"/>
      <c r="Q11" s="27"/>
      <c r="R11" s="27"/>
    </row>
    <row r="12" spans="1:27" ht="15" customHeight="1" x14ac:dyDescent="0.2">
      <c r="D12" s="86" t="s">
        <v>1311</v>
      </c>
      <c r="E12" s="86"/>
      <c r="F12" s="76"/>
      <c r="G12" s="234">
        <v>2</v>
      </c>
      <c r="H12" s="485" t="s">
        <v>278</v>
      </c>
      <c r="I12" s="76"/>
      <c r="J12" s="76"/>
      <c r="K12" s="371"/>
      <c r="L12" s="371"/>
      <c r="M12" s="76"/>
      <c r="T12" s="432">
        <f>226.417+2.465*G11-10.975*G14</f>
        <v>278.41699999999997</v>
      </c>
      <c r="U12" s="281" t="s">
        <v>343</v>
      </c>
      <c r="V12" s="281"/>
    </row>
    <row r="13" spans="1:27" ht="15" customHeight="1" x14ac:dyDescent="0.2">
      <c r="D13" s="86" t="s">
        <v>1312</v>
      </c>
      <c r="E13" s="86"/>
      <c r="F13" s="76"/>
      <c r="G13" s="234">
        <v>90</v>
      </c>
      <c r="H13" s="485" t="s">
        <v>278</v>
      </c>
      <c r="I13" s="76"/>
      <c r="J13" s="76"/>
      <c r="K13" s="371"/>
      <c r="L13" s="371"/>
      <c r="M13" s="76"/>
      <c r="T13" s="279">
        <f xml:space="preserve"> IF(T12&gt;0,T12,0)</f>
        <v>278.41699999999997</v>
      </c>
      <c r="U13" s="281" t="s">
        <v>343</v>
      </c>
      <c r="V13" s="281"/>
    </row>
    <row r="14" spans="1:27" ht="15" customHeight="1" x14ac:dyDescent="0.2">
      <c r="D14" s="86" t="s">
        <v>976</v>
      </c>
      <c r="E14" s="86"/>
      <c r="F14" s="76"/>
      <c r="G14" s="234">
        <v>2</v>
      </c>
      <c r="H14" s="485" t="s">
        <v>341</v>
      </c>
      <c r="I14" s="76"/>
      <c r="J14" s="76"/>
      <c r="K14" s="76"/>
      <c r="L14" s="76"/>
      <c r="M14" s="76"/>
    </row>
    <row r="15" spans="1:27" ht="15" customHeight="1" x14ac:dyDescent="0.3">
      <c r="D15" s="433" t="s">
        <v>897</v>
      </c>
      <c r="E15" s="74"/>
      <c r="F15" s="76"/>
      <c r="G15" s="234">
        <v>20</v>
      </c>
      <c r="H15" s="485" t="s">
        <v>977</v>
      </c>
      <c r="I15" s="76"/>
      <c r="J15" s="76"/>
      <c r="K15" s="76"/>
      <c r="L15" s="76"/>
      <c r="M15" s="76"/>
      <c r="T15" s="279">
        <f>189+0.537*G11-8.26*G12-2.1*G15</f>
        <v>146.59</v>
      </c>
      <c r="U15" s="275" t="s">
        <v>721</v>
      </c>
      <c r="V15" s="275"/>
    </row>
    <row r="16" spans="1:27" ht="15" customHeight="1" x14ac:dyDescent="0.3">
      <c r="D16" s="370" t="s">
        <v>562</v>
      </c>
      <c r="E16" s="370"/>
      <c r="F16" s="370"/>
      <c r="G16" s="3">
        <v>15</v>
      </c>
      <c r="H16" s="356" t="s">
        <v>563</v>
      </c>
      <c r="I16" s="76"/>
      <c r="J16" s="370"/>
      <c r="K16" s="354"/>
      <c r="L16" s="76"/>
      <c r="M16" s="76"/>
      <c r="T16" s="279">
        <f>IF(T15&gt;0,T15,0)</f>
        <v>146.59</v>
      </c>
      <c r="U16" s="275" t="s">
        <v>721</v>
      </c>
      <c r="V16" s="275"/>
    </row>
    <row r="17" spans="4:25" ht="15" customHeight="1" x14ac:dyDescent="0.2">
      <c r="D17" s="434" t="s">
        <v>564</v>
      </c>
      <c r="E17" s="434"/>
      <c r="F17" s="434"/>
      <c r="G17" s="234">
        <v>6</v>
      </c>
      <c r="H17" s="356" t="s">
        <v>1784</v>
      </c>
      <c r="I17" s="76"/>
      <c r="J17" s="434"/>
      <c r="K17" s="354"/>
      <c r="L17" s="76"/>
      <c r="M17" s="76"/>
    </row>
    <row r="18" spans="4:25" ht="15" customHeight="1" x14ac:dyDescent="0.3">
      <c r="D18" s="370" t="s">
        <v>565</v>
      </c>
      <c r="E18" s="370"/>
      <c r="F18" s="370"/>
      <c r="G18" s="3">
        <v>90</v>
      </c>
      <c r="H18" s="356" t="s">
        <v>563</v>
      </c>
      <c r="I18" s="76"/>
      <c r="J18" s="370"/>
      <c r="K18" s="354"/>
      <c r="L18" s="76"/>
      <c r="M18" s="76"/>
      <c r="T18" s="279">
        <f>236.47+2.381*G11-1.21*G13</f>
        <v>199</v>
      </c>
      <c r="U18" s="275" t="s">
        <v>13</v>
      </c>
      <c r="V18" s="275"/>
    </row>
    <row r="19" spans="4:25" ht="15" customHeight="1" x14ac:dyDescent="0.3">
      <c r="D19" s="76" t="s">
        <v>566</v>
      </c>
      <c r="E19" s="431"/>
      <c r="F19" s="370"/>
      <c r="G19" s="6">
        <v>5500</v>
      </c>
      <c r="H19" s="485" t="s">
        <v>567</v>
      </c>
      <c r="I19" s="76"/>
      <c r="J19" s="370"/>
      <c r="K19" s="76"/>
      <c r="L19" s="76"/>
      <c r="M19" s="76"/>
      <c r="T19" s="310">
        <f>IF(T18&gt;0,T18,0)</f>
        <v>199</v>
      </c>
      <c r="U19" s="275" t="s">
        <v>13</v>
      </c>
      <c r="V19" s="275"/>
    </row>
    <row r="20" spans="4:25" ht="15" customHeight="1" x14ac:dyDescent="0.2">
      <c r="D20" s="76"/>
      <c r="E20" s="76"/>
      <c r="F20" s="76"/>
      <c r="G20" s="76"/>
      <c r="H20" s="356"/>
      <c r="I20" s="76"/>
      <c r="J20" s="370"/>
      <c r="K20" s="354"/>
      <c r="L20" s="76"/>
      <c r="M20" s="76"/>
    </row>
    <row r="21" spans="4:25" ht="15" customHeight="1" x14ac:dyDescent="0.2">
      <c r="D21" s="76" t="s">
        <v>469</v>
      </c>
      <c r="E21" s="76"/>
      <c r="F21" s="76"/>
      <c r="G21" s="3">
        <v>1.5</v>
      </c>
      <c r="H21" s="356" t="s">
        <v>828</v>
      </c>
      <c r="I21" s="76"/>
      <c r="J21" s="370"/>
      <c r="K21" s="354"/>
      <c r="L21" s="76"/>
      <c r="M21" s="76"/>
    </row>
    <row r="22" spans="4:25" ht="15" customHeight="1" x14ac:dyDescent="0.2">
      <c r="D22" s="76"/>
      <c r="E22" s="76"/>
      <c r="F22" s="76"/>
      <c r="G22" s="3">
        <v>0.8</v>
      </c>
      <c r="H22" s="356" t="s">
        <v>462</v>
      </c>
      <c r="I22" s="76"/>
      <c r="J22" s="370"/>
      <c r="K22" s="354"/>
      <c r="L22" s="76"/>
      <c r="M22" s="76"/>
    </row>
    <row r="23" spans="4:25" ht="15" customHeight="1" x14ac:dyDescent="0.2">
      <c r="D23" s="76"/>
      <c r="E23" s="76"/>
      <c r="F23" s="76"/>
      <c r="G23" s="3">
        <v>1.3</v>
      </c>
      <c r="H23" s="356" t="s">
        <v>463</v>
      </c>
      <c r="I23" s="76"/>
      <c r="J23" s="370"/>
      <c r="K23" s="354"/>
      <c r="L23" s="76"/>
      <c r="M23" s="76"/>
    </row>
    <row r="24" spans="4:25" ht="15" customHeight="1" x14ac:dyDescent="0.2">
      <c r="D24" s="76"/>
      <c r="E24" s="76"/>
      <c r="F24" s="76"/>
      <c r="G24" s="3">
        <v>50</v>
      </c>
      <c r="H24" s="356" t="s">
        <v>464</v>
      </c>
      <c r="I24" s="76"/>
      <c r="J24" s="370"/>
      <c r="K24" s="354"/>
      <c r="L24" s="76"/>
      <c r="M24" s="435"/>
    </row>
    <row r="25" spans="4:25" ht="15" customHeight="1" x14ac:dyDescent="0.2">
      <c r="D25" s="434"/>
      <c r="E25" s="434"/>
      <c r="F25" s="354"/>
      <c r="G25" s="354"/>
      <c r="H25" s="443"/>
      <c r="I25" s="431"/>
      <c r="J25" s="76"/>
      <c r="K25" s="76"/>
      <c r="L25" s="76"/>
      <c r="M25" s="435"/>
      <c r="N25" s="208"/>
      <c r="O25" s="208"/>
      <c r="W25" s="208"/>
      <c r="X25" s="208"/>
    </row>
    <row r="26" spans="4:25" ht="15" customHeight="1" x14ac:dyDescent="0.2">
      <c r="D26" s="227" t="s">
        <v>1349</v>
      </c>
      <c r="E26" s="436">
        <f>IF(T32&gt;0,T32,0)</f>
        <v>3</v>
      </c>
      <c r="F26" s="431" t="s">
        <v>801</v>
      </c>
      <c r="G26" s="76"/>
      <c r="H26" s="443"/>
      <c r="I26" s="76"/>
      <c r="J26" s="431"/>
      <c r="K26" s="76"/>
      <c r="L26" s="76"/>
      <c r="M26" s="435"/>
      <c r="N26" s="208"/>
      <c r="O26" s="208"/>
      <c r="T26" s="279"/>
      <c r="X26" s="208"/>
    </row>
    <row r="27" spans="4:25" ht="15" customHeight="1" x14ac:dyDescent="0.2">
      <c r="D27" s="76"/>
      <c r="E27" s="76"/>
      <c r="F27" s="86"/>
      <c r="G27" s="371"/>
      <c r="H27" s="437"/>
      <c r="I27" s="371"/>
      <c r="J27" s="431"/>
      <c r="K27" s="76"/>
      <c r="L27" s="76"/>
      <c r="M27" s="76"/>
      <c r="N27" s="208"/>
      <c r="O27" s="208"/>
    </row>
    <row r="28" spans="4:25" ht="15" customHeight="1" x14ac:dyDescent="0.2">
      <c r="D28" s="438" t="s">
        <v>568</v>
      </c>
      <c r="E28" s="438"/>
      <c r="F28" s="76"/>
      <c r="G28" s="439">
        <f>T13</f>
        <v>278.41699999999997</v>
      </c>
      <c r="H28" s="485" t="s">
        <v>569</v>
      </c>
      <c r="I28" s="435"/>
      <c r="J28" s="76"/>
      <c r="K28" s="76"/>
      <c r="L28" s="435"/>
      <c r="M28" s="76"/>
    </row>
    <row r="29" spans="4:25" ht="15" customHeight="1" x14ac:dyDescent="0.2">
      <c r="D29" s="76"/>
      <c r="E29" s="76"/>
      <c r="F29" s="76"/>
      <c r="G29" s="439">
        <f>T16/2.3</f>
        <v>63.73478260869566</v>
      </c>
      <c r="H29" s="485" t="s">
        <v>472</v>
      </c>
      <c r="I29" s="435"/>
      <c r="J29" s="76"/>
      <c r="K29" s="76"/>
      <c r="L29" s="435"/>
      <c r="M29" s="439"/>
      <c r="X29" s="208"/>
      <c r="Y29" s="283"/>
    </row>
    <row r="30" spans="4:25" ht="15" customHeight="1" x14ac:dyDescent="0.2">
      <c r="D30" s="76"/>
      <c r="E30" s="76"/>
      <c r="F30" s="76"/>
      <c r="G30" s="439">
        <f>T19/1.2</f>
        <v>165.83333333333334</v>
      </c>
      <c r="H30" s="485" t="s">
        <v>473</v>
      </c>
      <c r="I30" s="435"/>
      <c r="J30" s="76"/>
      <c r="K30" s="76"/>
      <c r="L30" s="435"/>
      <c r="M30" s="440"/>
      <c r="N30" s="305"/>
      <c r="O30" s="305"/>
      <c r="X30" s="208"/>
      <c r="Y30" s="283"/>
    </row>
    <row r="31" spans="4:25" ht="15" customHeight="1" x14ac:dyDescent="0.2">
      <c r="D31" s="76"/>
      <c r="E31" s="76"/>
      <c r="F31" s="86"/>
      <c r="G31" s="371"/>
      <c r="H31" s="371"/>
      <c r="I31" s="371"/>
      <c r="J31" s="431"/>
      <c r="K31" s="76"/>
      <c r="L31" s="76"/>
      <c r="M31" s="440"/>
      <c r="N31" s="305"/>
      <c r="O31" s="305"/>
      <c r="X31" s="208"/>
      <c r="Y31" s="283"/>
    </row>
    <row r="32" spans="4:25" ht="15" customHeight="1" x14ac:dyDescent="0.2">
      <c r="D32" s="409" t="s">
        <v>793</v>
      </c>
      <c r="E32" s="409"/>
      <c r="F32" s="76"/>
      <c r="G32" s="76"/>
      <c r="H32" s="76"/>
      <c r="I32" s="76"/>
      <c r="J32" s="3">
        <v>1</v>
      </c>
      <c r="K32" s="76"/>
      <c r="L32" s="76"/>
      <c r="M32" s="354"/>
      <c r="N32" s="281"/>
      <c r="O32" s="281"/>
      <c r="T32" s="441">
        <f xml:space="preserve"> G17*(60-G16)/G18</f>
        <v>3</v>
      </c>
      <c r="U32" s="266" t="s">
        <v>483</v>
      </c>
    </row>
    <row r="33" spans="4:24" ht="15" customHeight="1" x14ac:dyDescent="0.2">
      <c r="D33" s="442"/>
      <c r="E33" s="372">
        <f>J32</f>
        <v>1</v>
      </c>
      <c r="F33" s="443" t="s">
        <v>797</v>
      </c>
      <c r="G33" s="76"/>
      <c r="H33" s="436">
        <f>T36</f>
        <v>16.705019999999998</v>
      </c>
      <c r="I33" s="76" t="s">
        <v>470</v>
      </c>
      <c r="J33" s="76"/>
      <c r="K33" s="439"/>
      <c r="L33" s="439"/>
      <c r="M33" s="375"/>
      <c r="N33" s="272"/>
      <c r="O33" s="272"/>
      <c r="T33" s="230">
        <f>(100-G24)/100</f>
        <v>0.5</v>
      </c>
      <c r="U33" s="266" t="s">
        <v>467</v>
      </c>
      <c r="W33" s="27"/>
    </row>
    <row r="34" spans="4:24" s="305" customFormat="1" ht="15" customHeight="1" x14ac:dyDescent="0.2">
      <c r="D34" s="444"/>
      <c r="E34" s="372">
        <v>1</v>
      </c>
      <c r="F34" s="440" t="s">
        <v>33</v>
      </c>
      <c r="G34" s="440"/>
      <c r="H34" s="445">
        <f>(T39/K10)*1000</f>
        <v>0</v>
      </c>
      <c r="I34" s="446" t="s">
        <v>465</v>
      </c>
      <c r="J34" s="440"/>
      <c r="K34" s="440"/>
      <c r="L34" s="440"/>
      <c r="M34" s="370"/>
      <c r="N34" s="283"/>
      <c r="O34" s="283"/>
      <c r="T34" s="447">
        <f>(((100/G21)*G28)/1000)</f>
        <v>18.561133333333331</v>
      </c>
      <c r="U34" s="266" t="s">
        <v>466</v>
      </c>
      <c r="V34" s="266"/>
      <c r="W34" s="266"/>
    </row>
    <row r="35" spans="4:24" s="305" customFormat="1" ht="15" customHeight="1" x14ac:dyDescent="0.2">
      <c r="D35" s="440"/>
      <c r="E35" s="372">
        <v>1</v>
      </c>
      <c r="F35" s="440" t="s">
        <v>797</v>
      </c>
      <c r="G35" s="440"/>
      <c r="H35" s="439">
        <f>(T43/K10)*1000</f>
        <v>0</v>
      </c>
      <c r="I35" s="446" t="s">
        <v>365</v>
      </c>
      <c r="J35" s="440"/>
      <c r="K35" s="372"/>
      <c r="L35" s="445"/>
      <c r="M35" s="86"/>
      <c r="N35" s="283"/>
      <c r="O35" s="283"/>
      <c r="T35" s="274">
        <f>T34/T33</f>
        <v>37.122266666666661</v>
      </c>
      <c r="U35" s="266" t="s">
        <v>468</v>
      </c>
      <c r="V35" s="266"/>
      <c r="W35" s="266"/>
    </row>
    <row r="36" spans="4:24" s="281" customFormat="1" ht="15" customHeight="1" x14ac:dyDescent="0.2">
      <c r="D36" s="448"/>
      <c r="E36" s="449"/>
      <c r="F36" s="449"/>
      <c r="G36" s="445"/>
      <c r="H36" s="76"/>
      <c r="I36" s="354"/>
      <c r="J36" s="354"/>
      <c r="K36" s="354"/>
      <c r="L36" s="354"/>
      <c r="M36" s="185"/>
      <c r="N36" s="283"/>
      <c r="O36" s="283"/>
      <c r="T36" s="441">
        <f>((T35/K10)*1000)/J32</f>
        <v>16.705019999999998</v>
      </c>
      <c r="U36" s="305" t="s">
        <v>471</v>
      </c>
      <c r="V36" s="305"/>
      <c r="W36" s="305"/>
    </row>
    <row r="37" spans="4:24" ht="15" customHeight="1" x14ac:dyDescent="0.2">
      <c r="D37" s="450" t="s">
        <v>34</v>
      </c>
      <c r="E37" s="450"/>
      <c r="F37" s="76"/>
      <c r="G37" s="76"/>
      <c r="H37" s="76"/>
      <c r="I37" s="76"/>
      <c r="J37" s="76"/>
      <c r="K37" s="375"/>
      <c r="L37" s="375"/>
      <c r="M37" s="185"/>
      <c r="N37" s="283"/>
      <c r="O37" s="283"/>
      <c r="T37" s="447">
        <f>T34*(G22/100)*1000</f>
        <v>148.48906666666664</v>
      </c>
      <c r="U37" s="266" t="s">
        <v>474</v>
      </c>
      <c r="W37" s="272"/>
      <c r="X37" s="289"/>
    </row>
    <row r="38" spans="4:24" s="281" customFormat="1" ht="15" customHeight="1" x14ac:dyDescent="0.2">
      <c r="D38" s="92"/>
      <c r="E38" s="92"/>
      <c r="F38" s="411"/>
      <c r="G38" s="411"/>
      <c r="H38" s="411"/>
      <c r="I38" s="411"/>
      <c r="J38" s="411"/>
      <c r="K38" s="411"/>
      <c r="L38" s="411"/>
      <c r="M38" s="185"/>
      <c r="N38" s="283"/>
      <c r="O38" s="283"/>
      <c r="T38" s="274">
        <f>(G29-T37)*10</f>
        <v>-847.54284057970972</v>
      </c>
      <c r="U38" s="275" t="s">
        <v>475</v>
      </c>
      <c r="V38" s="208"/>
      <c r="W38" s="272"/>
    </row>
    <row r="39" spans="4:24" s="281" customFormat="1" ht="15" customHeight="1" x14ac:dyDescent="0.2">
      <c r="D39" s="451" t="s">
        <v>585</v>
      </c>
      <c r="E39" s="86"/>
      <c r="F39" s="370"/>
      <c r="G39" s="452" t="s">
        <v>575</v>
      </c>
      <c r="H39" s="354"/>
      <c r="I39" s="725" t="s">
        <v>576</v>
      </c>
      <c r="J39" s="725"/>
      <c r="K39" s="453">
        <f>G19/K10</f>
        <v>2.4750000000000001</v>
      </c>
      <c r="L39" s="451" t="s">
        <v>575</v>
      </c>
      <c r="M39" s="185"/>
      <c r="N39" s="283"/>
      <c r="O39" s="283"/>
      <c r="T39" s="274">
        <f>IF(T38&gt;0,T38,0)</f>
        <v>0</v>
      </c>
      <c r="U39" s="275" t="s">
        <v>476</v>
      </c>
      <c r="V39" s="275"/>
    </row>
    <row r="40" spans="4:24" s="281" customFormat="1" ht="15" customHeight="1" x14ac:dyDescent="0.2">
      <c r="D40" s="86" t="s">
        <v>481</v>
      </c>
      <c r="E40" s="86"/>
      <c r="F40" s="86"/>
      <c r="G40" s="454">
        <f>T35</f>
        <v>37.122266666666661</v>
      </c>
      <c r="H40" s="185"/>
      <c r="I40" s="455">
        <f>G40*K39</f>
        <v>91.87760999999999</v>
      </c>
      <c r="J40" s="354"/>
      <c r="K40" s="455"/>
      <c r="L40" s="185"/>
      <c r="M40" s="185"/>
      <c r="N40" s="283"/>
      <c r="O40" s="283"/>
      <c r="T40" s="283"/>
      <c r="U40" s="283"/>
      <c r="V40" s="283"/>
      <c r="W40" s="283"/>
    </row>
    <row r="41" spans="4:24" s="281" customFormat="1" ht="15" customHeight="1" x14ac:dyDescent="0.2">
      <c r="D41" s="86" t="s">
        <v>480</v>
      </c>
      <c r="E41" s="86"/>
      <c r="F41" s="86"/>
      <c r="G41" s="454">
        <f>T39</f>
        <v>0</v>
      </c>
      <c r="H41" s="185"/>
      <c r="I41" s="454">
        <f>G41*K39</f>
        <v>0</v>
      </c>
      <c r="J41" s="354"/>
      <c r="K41" s="454"/>
      <c r="L41" s="185"/>
      <c r="M41" s="354"/>
      <c r="T41" s="447">
        <f>T34*(G23/100)*1000</f>
        <v>241.29473333333331</v>
      </c>
      <c r="U41" s="266" t="s">
        <v>477</v>
      </c>
      <c r="V41" s="266"/>
      <c r="W41" s="272"/>
    </row>
    <row r="42" spans="4:24" s="281" customFormat="1" ht="15" customHeight="1" x14ac:dyDescent="0.2">
      <c r="D42" s="86" t="s">
        <v>366</v>
      </c>
      <c r="E42" s="86"/>
      <c r="F42" s="86"/>
      <c r="G42" s="456">
        <f>T43</f>
        <v>0</v>
      </c>
      <c r="H42" s="185"/>
      <c r="I42" s="454">
        <f>G42*K39</f>
        <v>0</v>
      </c>
      <c r="J42" s="354"/>
      <c r="K42" s="454"/>
      <c r="L42" s="185"/>
      <c r="M42" s="354"/>
      <c r="T42" s="274">
        <f>(G30-T41)</f>
        <v>-75.461399999999969</v>
      </c>
      <c r="U42" s="275" t="s">
        <v>478</v>
      </c>
      <c r="V42" s="208"/>
      <c r="W42" s="272"/>
    </row>
    <row r="43" spans="4:24" s="281" customFormat="1" ht="15" customHeight="1" x14ac:dyDescent="0.2">
      <c r="D43" s="368" t="s">
        <v>482</v>
      </c>
      <c r="E43" s="368"/>
      <c r="F43" s="368"/>
      <c r="G43" s="457">
        <f>T32*1000</f>
        <v>3000</v>
      </c>
      <c r="H43" s="367"/>
      <c r="I43" s="458">
        <f>G43*K39</f>
        <v>7425</v>
      </c>
      <c r="J43" s="459"/>
      <c r="K43" s="460"/>
      <c r="L43" s="461"/>
      <c r="M43" s="354"/>
      <c r="T43" s="274">
        <f>IF(T42&gt;0,T42,0)</f>
        <v>0</v>
      </c>
      <c r="U43" s="275" t="s">
        <v>479</v>
      </c>
      <c r="V43" s="275"/>
    </row>
    <row r="44" spans="4:24" s="281" customFormat="1" ht="15" customHeight="1" x14ac:dyDescent="0.2">
      <c r="D44" s="27"/>
      <c r="E44" s="27"/>
      <c r="F44" s="27"/>
      <c r="G44" s="218"/>
      <c r="H44" s="263"/>
      <c r="I44" s="263"/>
      <c r="J44" s="218"/>
      <c r="K44" s="263"/>
      <c r="L44" s="263"/>
      <c r="T44" s="283"/>
      <c r="U44" s="283"/>
      <c r="V44" s="283"/>
      <c r="W44" s="283"/>
    </row>
    <row r="45" spans="4:24" s="281" customFormat="1" ht="15" customHeight="1" x14ac:dyDescent="0.2">
      <c r="D45" s="277"/>
      <c r="E45" s="277"/>
      <c r="F45" s="275"/>
    </row>
    <row r="46" spans="4:24" s="281" customFormat="1" ht="15" customHeight="1" x14ac:dyDescent="0.2">
      <c r="D46" s="277"/>
      <c r="E46" s="277"/>
      <c r="F46" s="275"/>
      <c r="M46" s="296"/>
      <c r="N46" s="296"/>
      <c r="O46" s="296"/>
    </row>
    <row r="47" spans="4:24" s="281" customFormat="1" ht="15" customHeight="1" x14ac:dyDescent="0.2">
      <c r="D47" s="275"/>
      <c r="E47" s="277"/>
      <c r="F47" s="275"/>
      <c r="M47" s="296"/>
      <c r="N47" s="296"/>
      <c r="O47" s="296"/>
    </row>
    <row r="48" spans="4:24" s="281" customFormat="1" ht="15" customHeight="1" x14ac:dyDescent="0.2">
      <c r="D48" s="275"/>
      <c r="E48" s="277"/>
      <c r="F48" s="275"/>
      <c r="M48" s="60"/>
      <c r="N48" s="296"/>
      <c r="O48" s="296"/>
    </row>
    <row r="49" spans="2:19" s="281" customFormat="1" ht="15" customHeight="1" x14ac:dyDescent="0.2">
      <c r="D49" s="275"/>
      <c r="E49" s="275"/>
      <c r="F49" s="275"/>
      <c r="M49" s="265"/>
      <c r="N49" s="60"/>
      <c r="O49" s="60"/>
    </row>
    <row r="50" spans="2:19" s="60" customFormat="1" ht="15" customHeight="1" x14ac:dyDescent="0.2">
      <c r="C50" s="296"/>
      <c r="F50" s="296"/>
      <c r="G50" s="296"/>
      <c r="H50" s="296"/>
      <c r="I50" s="296"/>
      <c r="J50" s="296"/>
      <c r="K50" s="296"/>
      <c r="L50" s="296"/>
      <c r="M50" s="265"/>
      <c r="P50" s="296"/>
      <c r="Q50" s="296"/>
      <c r="R50" s="296"/>
      <c r="S50" s="296"/>
    </row>
    <row r="51" spans="2:19" s="60" customFormat="1" ht="15" customHeight="1" x14ac:dyDescent="0.2">
      <c r="C51" s="296"/>
      <c r="D51" s="275"/>
      <c r="F51" s="296"/>
      <c r="G51" s="296"/>
      <c r="H51" s="296"/>
      <c r="I51" s="296"/>
      <c r="J51" s="296"/>
      <c r="K51" s="296"/>
      <c r="L51" s="296"/>
      <c r="M51" s="265"/>
      <c r="P51" s="296"/>
      <c r="Q51" s="296"/>
      <c r="R51" s="296"/>
      <c r="S51" s="296"/>
    </row>
    <row r="52" spans="2:19" s="60" customFormat="1" ht="15" customHeight="1" x14ac:dyDescent="0.2">
      <c r="C52" s="296"/>
      <c r="D52" s="226" t="s">
        <v>891</v>
      </c>
      <c r="E52" s="720"/>
      <c r="F52" s="720"/>
      <c r="G52" s="296"/>
      <c r="H52" s="296" t="s">
        <v>794</v>
      </c>
      <c r="J52" s="296"/>
      <c r="M52" s="265"/>
      <c r="P52" s="296"/>
      <c r="Q52" s="296"/>
      <c r="R52" s="296"/>
      <c r="S52" s="296"/>
    </row>
    <row r="53" spans="2:19" s="60" customFormat="1" ht="15" customHeight="1" x14ac:dyDescent="0.2">
      <c r="D53" s="267"/>
      <c r="E53" s="267"/>
      <c r="F53" s="267"/>
      <c r="I53" s="265"/>
      <c r="J53" s="265"/>
      <c r="K53" s="265"/>
      <c r="L53" s="265"/>
      <c r="M53" s="265"/>
    </row>
    <row r="54" spans="2:19" s="60" customFormat="1" ht="15" customHeight="1" x14ac:dyDescent="0.2">
      <c r="D54" s="265"/>
      <c r="E54" s="266"/>
      <c r="F54" s="267"/>
      <c r="I54" s="265"/>
      <c r="J54" s="265"/>
      <c r="K54" s="265"/>
      <c r="L54" s="265"/>
      <c r="M54" s="265"/>
    </row>
    <row r="55" spans="2:19" s="60" customFormat="1" ht="15" hidden="1" customHeight="1" x14ac:dyDescent="0.2">
      <c r="D55" s="266"/>
      <c r="E55" s="49"/>
      <c r="F55" s="267"/>
      <c r="I55" s="265"/>
      <c r="J55" s="265"/>
      <c r="K55" s="265"/>
      <c r="L55" s="265"/>
      <c r="M55" s="265"/>
    </row>
    <row r="56" spans="2:19" s="60" customFormat="1" ht="15" hidden="1" customHeight="1" x14ac:dyDescent="0.2">
      <c r="D56" s="266"/>
      <c r="E56" s="266"/>
      <c r="F56" s="267"/>
      <c r="I56" s="265"/>
      <c r="J56" s="265"/>
      <c r="K56" s="265"/>
      <c r="L56" s="265"/>
      <c r="M56" s="265"/>
    </row>
    <row r="57" spans="2:19" s="60" customFormat="1" ht="15" hidden="1" customHeight="1" x14ac:dyDescent="0.2">
      <c r="D57" s="266"/>
      <c r="E57" s="266"/>
      <c r="F57" s="267"/>
      <c r="I57" s="265"/>
      <c r="J57" s="265"/>
      <c r="K57" s="265"/>
      <c r="L57" s="265"/>
      <c r="M57" s="265"/>
    </row>
    <row r="58" spans="2:19" s="60" customFormat="1" ht="15" hidden="1" customHeight="1" x14ac:dyDescent="0.2">
      <c r="D58" s="266"/>
      <c r="G58" s="265"/>
      <c r="H58" s="265"/>
      <c r="I58" s="265"/>
      <c r="J58" s="265"/>
      <c r="K58" s="265"/>
    </row>
    <row r="59" spans="2:19" s="60" customFormat="1" ht="15" hidden="1" customHeight="1" x14ac:dyDescent="0.2">
      <c r="D59" s="266"/>
      <c r="G59" s="265"/>
      <c r="H59" s="265"/>
      <c r="I59" s="265"/>
      <c r="J59" s="265"/>
      <c r="K59" s="265"/>
    </row>
    <row r="60" spans="2:19" s="60" customFormat="1" ht="15" hidden="1" customHeight="1" x14ac:dyDescent="0.2">
      <c r="D60" s="266"/>
      <c r="G60" s="265"/>
      <c r="H60" s="265"/>
      <c r="I60" s="265"/>
      <c r="J60" s="265"/>
      <c r="K60" s="265"/>
    </row>
    <row r="61" spans="2:19" s="60" customFormat="1" ht="15" hidden="1" customHeight="1" x14ac:dyDescent="0.2">
      <c r="D61" s="266"/>
      <c r="G61" s="265"/>
      <c r="H61" s="265"/>
      <c r="I61" s="265"/>
      <c r="J61" s="265"/>
      <c r="K61" s="265"/>
    </row>
    <row r="62" spans="2:19" s="60" customFormat="1" ht="15" hidden="1" customHeight="1" x14ac:dyDescent="0.2">
      <c r="B62" s="267"/>
      <c r="G62" s="265"/>
      <c r="H62" s="265"/>
      <c r="I62" s="265"/>
      <c r="J62" s="265"/>
      <c r="K62" s="265"/>
    </row>
    <row r="63" spans="2:19" s="60" customFormat="1" ht="15" hidden="1" customHeight="1" x14ac:dyDescent="0.2">
      <c r="B63" s="267"/>
      <c r="C63" s="267"/>
      <c r="D63" s="267"/>
      <c r="G63" s="265"/>
      <c r="H63" s="265"/>
      <c r="I63" s="265"/>
      <c r="J63" s="265"/>
      <c r="K63" s="265"/>
    </row>
    <row r="64" spans="2:19" s="60" customFormat="1" ht="15" hidden="1" customHeight="1" x14ac:dyDescent="0.2">
      <c r="B64" s="267"/>
      <c r="C64" s="265"/>
      <c r="D64" s="266"/>
      <c r="E64" s="266"/>
      <c r="F64" s="266"/>
      <c r="G64" s="265"/>
      <c r="H64" s="265"/>
      <c r="I64" s="265"/>
      <c r="J64" s="265"/>
      <c r="K64" s="265"/>
    </row>
    <row r="65" spans="2:13" s="60" customFormat="1" ht="15" hidden="1" customHeight="1" x14ac:dyDescent="0.2">
      <c r="B65" s="267"/>
      <c r="C65" s="266"/>
      <c r="D65" s="266"/>
      <c r="E65" s="266"/>
      <c r="F65" s="266"/>
      <c r="G65" s="265"/>
      <c r="H65" s="265"/>
      <c r="I65" s="265"/>
      <c r="J65" s="265"/>
      <c r="K65" s="265"/>
    </row>
    <row r="66" spans="2:13" s="60" customFormat="1" ht="15" hidden="1" customHeight="1" x14ac:dyDescent="0.2">
      <c r="B66" s="267"/>
      <c r="C66" s="266"/>
      <c r="D66" s="266"/>
      <c r="E66" s="266"/>
      <c r="F66" s="266"/>
      <c r="G66" s="265"/>
      <c r="H66" s="265"/>
      <c r="I66" s="265"/>
      <c r="J66" s="265"/>
      <c r="K66" s="265"/>
    </row>
    <row r="67" spans="2:13" s="60" customFormat="1" ht="15" hidden="1" customHeight="1" x14ac:dyDescent="0.2">
      <c r="B67" s="267"/>
      <c r="C67" s="267"/>
      <c r="D67" s="267"/>
      <c r="G67" s="265"/>
      <c r="H67" s="265"/>
      <c r="I67" s="265"/>
      <c r="J67" s="265"/>
      <c r="K67" s="265"/>
    </row>
    <row r="68" spans="2:13" s="60" customFormat="1" ht="15" hidden="1" customHeight="1" x14ac:dyDescent="0.2">
      <c r="B68" s="267"/>
      <c r="C68" s="267"/>
      <c r="D68" s="267"/>
      <c r="G68" s="265"/>
      <c r="H68" s="265"/>
      <c r="I68" s="265"/>
      <c r="J68" s="265"/>
      <c r="K68" s="265"/>
    </row>
    <row r="69" spans="2:13" s="60" customFormat="1" ht="15" hidden="1" customHeight="1" x14ac:dyDescent="0.2">
      <c r="B69" s="267"/>
      <c r="C69" s="267"/>
      <c r="D69" s="267"/>
      <c r="G69" s="265"/>
      <c r="H69" s="265"/>
      <c r="I69" s="265"/>
      <c r="J69" s="265"/>
      <c r="K69" s="265"/>
    </row>
    <row r="70" spans="2:13" s="60" customFormat="1" ht="15" hidden="1" customHeight="1" x14ac:dyDescent="0.2">
      <c r="B70" s="267"/>
      <c r="C70" s="267"/>
      <c r="D70" s="267"/>
      <c r="G70" s="265"/>
      <c r="H70" s="265"/>
      <c r="I70" s="265"/>
      <c r="J70" s="265"/>
      <c r="K70" s="265"/>
    </row>
    <row r="71" spans="2:13" s="60" customFormat="1" ht="15" hidden="1" customHeight="1" x14ac:dyDescent="0.2">
      <c r="B71" s="267"/>
      <c r="C71" s="267"/>
      <c r="D71" s="267"/>
      <c r="G71" s="265"/>
      <c r="H71" s="265"/>
      <c r="I71" s="265"/>
      <c r="J71" s="265"/>
      <c r="K71" s="265"/>
    </row>
    <row r="72" spans="2:13" s="60" customFormat="1" ht="15" hidden="1" customHeight="1" x14ac:dyDescent="0.2">
      <c r="B72" s="267"/>
      <c r="C72" s="267"/>
      <c r="D72" s="267"/>
      <c r="G72" s="265"/>
      <c r="H72" s="265"/>
      <c r="I72" s="265"/>
      <c r="J72" s="265"/>
      <c r="K72" s="265"/>
    </row>
    <row r="73" spans="2:13" s="60" customFormat="1" ht="15" hidden="1" customHeight="1" x14ac:dyDescent="0.2">
      <c r="B73" s="267"/>
      <c r="C73" s="267"/>
      <c r="D73" s="267"/>
      <c r="G73" s="265"/>
      <c r="H73" s="265"/>
      <c r="I73" s="265"/>
      <c r="J73" s="265"/>
    </row>
    <row r="74" spans="2:13" s="60" customFormat="1" ht="15" hidden="1" customHeight="1" x14ac:dyDescent="0.2">
      <c r="B74" s="462"/>
      <c r="C74" s="462"/>
      <c r="D74" s="267"/>
      <c r="E74" s="213"/>
      <c r="H74" s="265"/>
      <c r="I74" s="265"/>
      <c r="J74" s="265"/>
    </row>
    <row r="75" spans="2:13" s="60" customFormat="1" ht="15" hidden="1" customHeight="1" x14ac:dyDescent="0.2">
      <c r="B75" s="267"/>
      <c r="C75" s="267"/>
      <c r="D75" s="267"/>
      <c r="E75" s="294"/>
      <c r="H75" s="265"/>
      <c r="I75" s="265"/>
      <c r="J75" s="265"/>
    </row>
    <row r="76" spans="2:13" s="60" customFormat="1" ht="15" hidden="1" customHeight="1" x14ac:dyDescent="0.2">
      <c r="B76" s="267"/>
      <c r="C76" s="267"/>
      <c r="D76" s="267"/>
      <c r="E76" s="294"/>
      <c r="H76" s="265"/>
      <c r="I76" s="265"/>
      <c r="J76" s="265"/>
    </row>
    <row r="77" spans="2:13" s="60" customFormat="1" ht="15" hidden="1" customHeight="1" x14ac:dyDescent="0.2">
      <c r="B77" s="267"/>
      <c r="C77" s="267"/>
      <c r="D77" s="462"/>
      <c r="E77" s="294"/>
    </row>
    <row r="78" spans="2:13" s="60" customFormat="1" ht="15" hidden="1" customHeight="1" x14ac:dyDescent="0.2">
      <c r="D78" s="266"/>
    </row>
    <row r="79" spans="2:13" s="60" customFormat="1" ht="15" hidden="1" customHeight="1" x14ac:dyDescent="0.2">
      <c r="D79" s="266"/>
      <c r="K79" s="266"/>
      <c r="L79" s="266"/>
      <c r="M79" s="266"/>
    </row>
    <row r="80" spans="2:13" s="60" customFormat="1" ht="15" hidden="1" customHeight="1" x14ac:dyDescent="0.2">
      <c r="B80" s="207"/>
      <c r="C80" s="207"/>
      <c r="D80" s="266"/>
      <c r="K80" s="266"/>
      <c r="L80" s="266"/>
      <c r="M80" s="266"/>
    </row>
    <row r="81" spans="2:13" s="60" customFormat="1" ht="15" hidden="1" customHeight="1" x14ac:dyDescent="0.2">
      <c r="B81" s="267"/>
      <c r="C81" s="267"/>
      <c r="K81" s="266"/>
      <c r="L81" s="266"/>
      <c r="M81" s="266"/>
    </row>
    <row r="82" spans="2:13" s="60" customFormat="1" ht="15" hidden="1" customHeight="1" x14ac:dyDescent="0.2">
      <c r="B82" s="267"/>
      <c r="C82" s="267"/>
      <c r="D82" s="267"/>
      <c r="E82" s="294"/>
      <c r="K82" s="266"/>
      <c r="L82" s="266"/>
      <c r="M82" s="266"/>
    </row>
    <row r="83" spans="2:13" ht="15" hidden="1" customHeight="1" x14ac:dyDescent="0.2">
      <c r="B83" s="267"/>
      <c r="C83" s="267"/>
      <c r="D83" s="267"/>
      <c r="E83" s="294"/>
    </row>
  </sheetData>
  <sheetProtection algorithmName="SHA-512" hashValue="8vmhiguWftTdoXyHg9cX3R8BDLhdIVqQ9I+EmNfdjTdAOnN8K/tmkoGA1TZZVJJ1UOBpMF1MLcwkNRR2SKJa6Q==" saltValue="+2MMFadrQMXw2ehjhaaALw==" spinCount="100000" sheet="1" objects="1" scenarios="1" selectLockedCells="1"/>
  <mergeCells count="4">
    <mergeCell ref="E6:K6"/>
    <mergeCell ref="E8:M8"/>
    <mergeCell ref="I39:J39"/>
    <mergeCell ref="E52:F52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V87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3" width="9.140625" style="46" customWidth="1"/>
    <col min="4" max="6" width="9.140625" style="146" customWidth="1"/>
    <col min="7" max="16" width="9.140625" style="46" customWidth="1"/>
    <col min="17" max="16384" width="9.140625" style="4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127" customFormat="1" ht="24.95" customHeight="1" x14ac:dyDescent="0.25">
      <c r="B6" s="128"/>
      <c r="C6" s="128"/>
      <c r="D6" s="128"/>
      <c r="F6" s="699" t="s">
        <v>1856</v>
      </c>
      <c r="G6" s="699"/>
      <c r="H6" s="699"/>
      <c r="I6" s="699"/>
      <c r="J6" s="699"/>
      <c r="K6" s="699"/>
    </row>
    <row r="7" spans="1:16" s="97" customFormat="1" ht="20.100000000000001" customHeight="1" x14ac:dyDescent="0.2">
      <c r="L7" s="248"/>
    </row>
    <row r="8" spans="1:16" s="97" customFormat="1" ht="20.100000000000001" customHeight="1" x14ac:dyDescent="0.2">
      <c r="E8" s="726" t="s">
        <v>1780</v>
      </c>
      <c r="F8" s="726"/>
      <c r="G8" s="726"/>
      <c r="H8" s="726"/>
      <c r="I8" s="726"/>
      <c r="J8" s="726"/>
      <c r="K8" s="726"/>
      <c r="L8" s="726"/>
      <c r="M8" s="726"/>
    </row>
    <row r="9" spans="1:16" s="97" customFormat="1" ht="20.100000000000001" customHeight="1" x14ac:dyDescent="0.2">
      <c r="F9" s="741" t="s">
        <v>1791</v>
      </c>
      <c r="G9" s="741"/>
      <c r="H9" s="246"/>
      <c r="I9" s="741" t="s">
        <v>235</v>
      </c>
      <c r="J9" s="741"/>
      <c r="K9" s="741"/>
      <c r="L9" s="741"/>
      <c r="N9" s="248"/>
    </row>
    <row r="10" spans="1:16" s="97" customFormat="1" ht="20.100000000000001" customHeight="1" x14ac:dyDescent="0.2">
      <c r="F10" s="738" t="s">
        <v>1274</v>
      </c>
      <c r="G10" s="738"/>
      <c r="H10" s="129"/>
      <c r="I10" s="248"/>
      <c r="J10" s="738" t="s">
        <v>236</v>
      </c>
      <c r="K10" s="738"/>
      <c r="L10" s="124"/>
    </row>
    <row r="11" spans="1:16" s="97" customFormat="1" ht="20.100000000000001" customHeight="1" x14ac:dyDescent="0.2">
      <c r="F11" s="742" t="s">
        <v>1167</v>
      </c>
      <c r="G11" s="742"/>
      <c r="H11" s="247"/>
      <c r="I11" s="130"/>
      <c r="J11" s="739" t="s">
        <v>226</v>
      </c>
      <c r="K11" s="739"/>
      <c r="L11" s="131"/>
    </row>
    <row r="12" spans="1:16" s="97" customFormat="1" ht="20.100000000000001" customHeight="1" x14ac:dyDescent="0.2">
      <c r="F12" s="740" t="s">
        <v>1168</v>
      </c>
      <c r="G12" s="740"/>
      <c r="H12" s="245"/>
      <c r="I12" s="126"/>
      <c r="J12" s="740" t="s">
        <v>238</v>
      </c>
      <c r="K12" s="740"/>
      <c r="L12" s="102"/>
    </row>
    <row r="13" spans="1:16" s="97" customFormat="1" ht="20.100000000000001" customHeight="1" x14ac:dyDescent="0.2">
      <c r="E13" s="129"/>
      <c r="F13" s="129"/>
      <c r="G13" s="125"/>
      <c r="H13" s="129"/>
      <c r="I13" s="129"/>
      <c r="J13" s="124"/>
    </row>
    <row r="14" spans="1:16" s="97" customFormat="1" ht="20.100000000000001" customHeight="1" x14ac:dyDescent="0.2">
      <c r="G14" s="248"/>
      <c r="H14" s="248"/>
      <c r="I14" s="248"/>
    </row>
    <row r="15" spans="1:16" s="97" customFormat="1" ht="20.100000000000001" customHeight="1" x14ac:dyDescent="0.2">
      <c r="E15" s="737" t="s">
        <v>1781</v>
      </c>
      <c r="F15" s="737"/>
      <c r="G15" s="737"/>
      <c r="H15" s="737"/>
      <c r="I15" s="737"/>
      <c r="J15" s="737"/>
      <c r="K15" s="737"/>
      <c r="L15" s="737"/>
    </row>
    <row r="16" spans="1:16" s="97" customFormat="1" ht="20.100000000000001" customHeight="1" x14ac:dyDescent="0.2">
      <c r="E16" s="745" t="s">
        <v>1776</v>
      </c>
      <c r="F16" s="745"/>
      <c r="G16" s="132"/>
      <c r="H16" s="94"/>
      <c r="I16" s="94"/>
      <c r="J16" s="94" t="s">
        <v>1775</v>
      </c>
      <c r="K16" s="94"/>
      <c r="L16" s="94"/>
    </row>
    <row r="17" spans="4:19" s="97" customFormat="1" ht="20.100000000000001" customHeight="1" x14ac:dyDescent="0.2">
      <c r="E17" s="737"/>
      <c r="F17" s="737"/>
      <c r="G17" s="133"/>
      <c r="H17" s="236" t="s">
        <v>225</v>
      </c>
      <c r="I17" s="236"/>
      <c r="J17" s="236" t="s">
        <v>226</v>
      </c>
      <c r="K17" s="236"/>
      <c r="L17" s="236" t="s">
        <v>227</v>
      </c>
    </row>
    <row r="18" spans="4:19" s="97" customFormat="1" ht="20.100000000000001" customHeight="1" x14ac:dyDescent="0.2">
      <c r="E18" s="746" t="s">
        <v>228</v>
      </c>
      <c r="F18" s="746"/>
      <c r="H18" s="248" t="s">
        <v>229</v>
      </c>
      <c r="I18" s="248"/>
      <c r="J18" s="248" t="s">
        <v>230</v>
      </c>
      <c r="K18" s="248"/>
      <c r="L18" s="248" t="s">
        <v>231</v>
      </c>
    </row>
    <row r="19" spans="4:19" s="97" customFormat="1" ht="20.100000000000001" customHeight="1" x14ac:dyDescent="0.2">
      <c r="E19" s="747" t="s">
        <v>1774</v>
      </c>
      <c r="F19" s="747"/>
      <c r="G19" s="134"/>
      <c r="H19" s="250" t="s">
        <v>232</v>
      </c>
      <c r="I19" s="250"/>
      <c r="J19" s="250" t="s">
        <v>233</v>
      </c>
      <c r="K19" s="250"/>
      <c r="L19" s="250" t="s">
        <v>234</v>
      </c>
    </row>
    <row r="20" spans="4:19" s="97" customFormat="1" ht="20.100000000000001" customHeight="1" x14ac:dyDescent="0.2">
      <c r="G20" s="248"/>
      <c r="H20" s="248"/>
      <c r="I20" s="248"/>
    </row>
    <row r="21" spans="4:19" s="97" customFormat="1" ht="20.100000000000001" customHeight="1" x14ac:dyDescent="0.2">
      <c r="G21" s="248"/>
      <c r="H21" s="709"/>
      <c r="I21" s="709"/>
    </row>
    <row r="22" spans="4:19" s="97" customFormat="1" ht="20.100000000000001" customHeight="1" x14ac:dyDescent="0.2">
      <c r="D22" s="726" t="s">
        <v>1779</v>
      </c>
      <c r="E22" s="726"/>
      <c r="F22" s="726"/>
      <c r="G22" s="726"/>
      <c r="H22" s="726"/>
      <c r="I22" s="726"/>
      <c r="J22" s="726"/>
      <c r="K22" s="726"/>
      <c r="L22" s="726"/>
      <c r="M22" s="726"/>
      <c r="N22" s="726"/>
      <c r="O22" s="124"/>
      <c r="P22" s="124"/>
      <c r="Q22" s="124"/>
      <c r="R22" s="124"/>
      <c r="S22" s="124"/>
    </row>
    <row r="23" spans="4:19" s="97" customFormat="1" ht="20.100000000000001" customHeight="1" x14ac:dyDescent="0.2">
      <c r="D23" s="734" t="s">
        <v>224</v>
      </c>
      <c r="E23" s="734"/>
      <c r="F23" s="734" t="s">
        <v>1169</v>
      </c>
      <c r="G23" s="734" t="s">
        <v>1121</v>
      </c>
      <c r="H23" s="734"/>
      <c r="I23" s="734" t="s">
        <v>1170</v>
      </c>
      <c r="J23" s="734"/>
      <c r="K23" s="243"/>
      <c r="L23" s="743" t="s">
        <v>1172</v>
      </c>
      <c r="M23" s="743"/>
      <c r="N23" s="743"/>
      <c r="O23" s="135"/>
      <c r="P23" s="135"/>
      <c r="Q23" s="135"/>
      <c r="R23" s="135"/>
      <c r="S23" s="135"/>
    </row>
    <row r="24" spans="4:19" s="97" customFormat="1" ht="20.100000000000001" customHeight="1" x14ac:dyDescent="0.2">
      <c r="D24" s="735"/>
      <c r="E24" s="735"/>
      <c r="F24" s="735"/>
      <c r="G24" s="735"/>
      <c r="H24" s="735"/>
      <c r="I24" s="735"/>
      <c r="J24" s="735"/>
      <c r="K24" s="244" t="s">
        <v>1171</v>
      </c>
      <c r="L24" s="244" t="s">
        <v>1173</v>
      </c>
      <c r="M24" s="244" t="s">
        <v>1174</v>
      </c>
      <c r="N24" s="244" t="s">
        <v>1175</v>
      </c>
      <c r="O24" s="124"/>
      <c r="P24" s="136"/>
      <c r="Q24" s="124"/>
      <c r="R24" s="136"/>
      <c r="S24" s="124"/>
    </row>
    <row r="25" spans="4:19" s="97" customFormat="1" ht="20.100000000000001" customHeight="1" x14ac:dyDescent="0.2">
      <c r="D25" s="239" t="s">
        <v>1176</v>
      </c>
      <c r="H25" s="239"/>
      <c r="I25" s="729" t="s">
        <v>1178</v>
      </c>
      <c r="J25" s="729"/>
      <c r="K25" s="239" t="s">
        <v>236</v>
      </c>
      <c r="L25" s="239" t="s">
        <v>1777</v>
      </c>
      <c r="M25" s="137" t="s">
        <v>1272</v>
      </c>
      <c r="N25" s="239" t="s">
        <v>1255</v>
      </c>
      <c r="O25" s="124"/>
      <c r="P25" s="138"/>
      <c r="Q25" s="124"/>
      <c r="R25" s="138"/>
      <c r="S25" s="124"/>
    </row>
    <row r="26" spans="4:19" s="97" customFormat="1" ht="20.100000000000001" customHeight="1" x14ac:dyDescent="0.2">
      <c r="D26" s="748" t="s">
        <v>1790</v>
      </c>
      <c r="E26" s="748"/>
      <c r="F26" s="239" t="s">
        <v>1177</v>
      </c>
      <c r="G26" s="727" t="s">
        <v>992</v>
      </c>
      <c r="H26" s="727"/>
      <c r="I26" s="727"/>
      <c r="J26" s="727"/>
      <c r="K26" s="239" t="s">
        <v>226</v>
      </c>
      <c r="L26" s="239" t="s">
        <v>1254</v>
      </c>
      <c r="M26" s="139" t="s">
        <v>1273</v>
      </c>
      <c r="N26" s="239" t="s">
        <v>1256</v>
      </c>
      <c r="O26" s="124"/>
      <c r="P26" s="138"/>
      <c r="Q26" s="124"/>
      <c r="R26" s="138"/>
      <c r="S26" s="124"/>
    </row>
    <row r="27" spans="4:19" s="97" customFormat="1" ht="20.100000000000001" customHeight="1" x14ac:dyDescent="0.2">
      <c r="D27" s="239"/>
      <c r="H27" s="239"/>
      <c r="I27" s="727"/>
      <c r="J27" s="727"/>
      <c r="K27" s="239" t="s">
        <v>238</v>
      </c>
      <c r="L27" s="239" t="s">
        <v>950</v>
      </c>
      <c r="M27" s="239" t="s">
        <v>951</v>
      </c>
      <c r="N27" s="239" t="s">
        <v>1257</v>
      </c>
      <c r="O27" s="124"/>
      <c r="P27" s="138"/>
      <c r="Q27" s="124"/>
      <c r="R27" s="138"/>
      <c r="S27" s="124"/>
    </row>
    <row r="28" spans="4:19" s="97" customFormat="1" ht="20.100000000000001" customHeight="1" x14ac:dyDescent="0.2">
      <c r="D28" s="140"/>
      <c r="E28" s="140"/>
      <c r="F28" s="140"/>
      <c r="G28" s="140"/>
      <c r="H28" s="140"/>
      <c r="I28" s="733" t="s">
        <v>1258</v>
      </c>
      <c r="J28" s="733"/>
      <c r="K28" s="242" t="s">
        <v>236</v>
      </c>
      <c r="L28" s="242" t="s">
        <v>950</v>
      </c>
      <c r="M28" s="242" t="s">
        <v>1260</v>
      </c>
      <c r="N28" s="242" t="s">
        <v>1262</v>
      </c>
      <c r="O28" s="124"/>
      <c r="P28" s="138"/>
      <c r="Q28" s="124"/>
      <c r="R28" s="138"/>
      <c r="S28" s="124"/>
    </row>
    <row r="29" spans="4:19" s="97" customFormat="1" ht="20.100000000000001" customHeight="1" x14ac:dyDescent="0.2">
      <c r="D29" s="744" t="s">
        <v>1790</v>
      </c>
      <c r="E29" s="744"/>
      <c r="F29" s="242" t="s">
        <v>1177</v>
      </c>
      <c r="G29" s="733" t="s">
        <v>992</v>
      </c>
      <c r="H29" s="733"/>
      <c r="I29" s="733"/>
      <c r="J29" s="733"/>
      <c r="K29" s="242" t="s">
        <v>226</v>
      </c>
      <c r="L29" s="242" t="s">
        <v>402</v>
      </c>
      <c r="M29" s="242" t="s">
        <v>237</v>
      </c>
      <c r="N29" s="242" t="s">
        <v>952</v>
      </c>
      <c r="O29" s="124"/>
      <c r="P29" s="138"/>
      <c r="Q29" s="124"/>
      <c r="R29" s="138"/>
      <c r="S29" s="124"/>
    </row>
    <row r="30" spans="4:19" s="97" customFormat="1" ht="20.100000000000001" customHeight="1" x14ac:dyDescent="0.2">
      <c r="D30" s="242"/>
      <c r="E30" s="140"/>
      <c r="F30" s="140"/>
      <c r="G30" s="140"/>
      <c r="H30" s="242"/>
      <c r="I30" s="733"/>
      <c r="J30" s="733"/>
      <c r="K30" s="242" t="s">
        <v>238</v>
      </c>
      <c r="L30" s="242" t="s">
        <v>1259</v>
      </c>
      <c r="M30" s="242" t="s">
        <v>1261</v>
      </c>
      <c r="N30" s="242" t="s">
        <v>1263</v>
      </c>
      <c r="O30" s="124"/>
      <c r="P30" s="138"/>
      <c r="Q30" s="124"/>
      <c r="R30" s="138"/>
      <c r="S30" s="124"/>
    </row>
    <row r="31" spans="4:19" s="97" customFormat="1" ht="20.100000000000001" customHeight="1" x14ac:dyDescent="0.2">
      <c r="D31" s="239"/>
      <c r="H31" s="239"/>
      <c r="I31" s="727" t="s">
        <v>1264</v>
      </c>
      <c r="J31" s="727"/>
      <c r="K31" s="239" t="s">
        <v>236</v>
      </c>
      <c r="L31" s="239" t="s">
        <v>1265</v>
      </c>
      <c r="M31" s="239" t="s">
        <v>1267</v>
      </c>
      <c r="N31" s="239" t="s">
        <v>1778</v>
      </c>
      <c r="O31" s="124"/>
      <c r="P31" s="138"/>
      <c r="Q31" s="124"/>
      <c r="R31" s="138"/>
      <c r="S31" s="124"/>
    </row>
    <row r="32" spans="4:19" s="97" customFormat="1" ht="20.100000000000001" customHeight="1" x14ac:dyDescent="0.2">
      <c r="D32" s="748" t="s">
        <v>1790</v>
      </c>
      <c r="E32" s="748"/>
      <c r="F32" s="239" t="s">
        <v>1177</v>
      </c>
      <c r="G32" s="727" t="s">
        <v>992</v>
      </c>
      <c r="H32" s="727"/>
      <c r="I32" s="727"/>
      <c r="J32" s="727"/>
      <c r="K32" s="239" t="s">
        <v>226</v>
      </c>
      <c r="L32" s="239" t="s">
        <v>1259</v>
      </c>
      <c r="M32" s="239" t="s">
        <v>1268</v>
      </c>
      <c r="N32" s="239" t="s">
        <v>1270</v>
      </c>
      <c r="O32" s="124"/>
      <c r="P32" s="138"/>
      <c r="Q32" s="124"/>
      <c r="R32" s="138"/>
      <c r="S32" s="124"/>
    </row>
    <row r="33" spans="4:21" s="97" customFormat="1" ht="20.100000000000001" customHeight="1" x14ac:dyDescent="0.2">
      <c r="D33" s="240"/>
      <c r="E33" s="102"/>
      <c r="F33" s="102"/>
      <c r="G33" s="102"/>
      <c r="H33" s="240"/>
      <c r="I33" s="728"/>
      <c r="J33" s="728"/>
      <c r="K33" s="240" t="s">
        <v>238</v>
      </c>
      <c r="L33" s="240" t="s">
        <v>1266</v>
      </c>
      <c r="M33" s="241" t="s">
        <v>1269</v>
      </c>
      <c r="N33" s="240" t="s">
        <v>1271</v>
      </c>
      <c r="O33" s="124"/>
      <c r="P33" s="138"/>
      <c r="Q33" s="124"/>
      <c r="R33" s="138"/>
      <c r="S33" s="124"/>
    </row>
    <row r="34" spans="4:21" s="97" customFormat="1" ht="20.100000000000001" customHeight="1" x14ac:dyDescent="0.2">
      <c r="E34" s="124"/>
      <c r="F34" s="124"/>
      <c r="G34" s="125"/>
      <c r="H34" s="125"/>
      <c r="I34" s="125"/>
      <c r="J34" s="124"/>
      <c r="K34" s="124"/>
      <c r="L34" s="124"/>
      <c r="M34" s="124"/>
    </row>
    <row r="35" spans="4:21" s="97" customFormat="1" ht="20.100000000000001" customHeight="1" x14ac:dyDescent="0.2">
      <c r="E35" s="124"/>
      <c r="F35" s="124"/>
      <c r="G35" s="125"/>
      <c r="H35" s="125"/>
      <c r="I35" s="125"/>
      <c r="J35" s="124"/>
      <c r="K35" s="124"/>
      <c r="L35" s="124"/>
      <c r="M35" s="124"/>
    </row>
    <row r="36" spans="4:21" s="97" customFormat="1" ht="20.100000000000001" customHeight="1" x14ac:dyDescent="0.2">
      <c r="D36" s="737" t="s">
        <v>1789</v>
      </c>
      <c r="E36" s="737"/>
      <c r="F36" s="737"/>
      <c r="G36" s="737"/>
      <c r="H36" s="737"/>
      <c r="I36" s="737"/>
      <c r="J36" s="737"/>
      <c r="K36" s="737"/>
      <c r="L36" s="737"/>
      <c r="M36" s="737"/>
      <c r="N36" s="124"/>
      <c r="O36" s="124"/>
      <c r="P36" s="124"/>
    </row>
    <row r="37" spans="4:21" s="97" customFormat="1" ht="20.100000000000001" customHeight="1" x14ac:dyDescent="0.2">
      <c r="D37" s="734" t="s">
        <v>224</v>
      </c>
      <c r="E37" s="734"/>
      <c r="F37" s="734" t="s">
        <v>1169</v>
      </c>
      <c r="G37" s="734" t="s">
        <v>1121</v>
      </c>
      <c r="H37" s="734"/>
      <c r="I37" s="734" t="s">
        <v>1170</v>
      </c>
      <c r="J37" s="734"/>
      <c r="K37" s="736" t="s">
        <v>1172</v>
      </c>
      <c r="L37" s="736"/>
      <c r="M37" s="736"/>
      <c r="N37" s="135"/>
      <c r="O37" s="135"/>
      <c r="P37" s="124"/>
    </row>
    <row r="38" spans="4:21" s="97" customFormat="1" ht="20.100000000000001" customHeight="1" x14ac:dyDescent="0.2">
      <c r="D38" s="735"/>
      <c r="E38" s="735"/>
      <c r="F38" s="735"/>
      <c r="G38" s="735"/>
      <c r="H38" s="735"/>
      <c r="I38" s="735"/>
      <c r="J38" s="735"/>
      <c r="K38" s="244" t="s">
        <v>1173</v>
      </c>
      <c r="L38" s="244" t="s">
        <v>1174</v>
      </c>
      <c r="M38" s="244" t="s">
        <v>1175</v>
      </c>
      <c r="N38" s="136"/>
      <c r="O38" s="124"/>
      <c r="P38" s="124"/>
    </row>
    <row r="39" spans="4:21" s="97" customFormat="1" ht="20.100000000000001" customHeight="1" x14ac:dyDescent="0.2">
      <c r="D39" s="729" t="s">
        <v>1275</v>
      </c>
      <c r="E39" s="729"/>
      <c r="F39" s="729" t="s">
        <v>1177</v>
      </c>
      <c r="G39" s="729" t="s">
        <v>278</v>
      </c>
      <c r="H39" s="729"/>
      <c r="I39" s="727" t="s">
        <v>1276</v>
      </c>
      <c r="J39" s="727"/>
      <c r="K39" s="239" t="s">
        <v>1259</v>
      </c>
      <c r="L39" s="239" t="s">
        <v>1277</v>
      </c>
      <c r="M39" s="239" t="s">
        <v>1271</v>
      </c>
      <c r="N39" s="141"/>
      <c r="O39" s="124"/>
      <c r="P39" s="124"/>
    </row>
    <row r="40" spans="4:21" s="97" customFormat="1" ht="20.100000000000001" customHeight="1" x14ac:dyDescent="0.2">
      <c r="D40" s="728"/>
      <c r="E40" s="728"/>
      <c r="F40" s="728"/>
      <c r="G40" s="728"/>
      <c r="H40" s="728"/>
      <c r="I40" s="728" t="s">
        <v>1264</v>
      </c>
      <c r="J40" s="728"/>
      <c r="K40" s="240" t="s">
        <v>1278</v>
      </c>
      <c r="L40" s="240" t="s">
        <v>1279</v>
      </c>
      <c r="M40" s="240" t="s">
        <v>1280</v>
      </c>
      <c r="N40" s="141"/>
      <c r="O40" s="124"/>
      <c r="P40" s="124"/>
    </row>
    <row r="41" spans="4:21" s="97" customFormat="1" ht="20.100000000000001" customHeight="1" x14ac:dyDescent="0.2">
      <c r="D41" s="124"/>
      <c r="E41" s="124"/>
      <c r="F41" s="124"/>
      <c r="G41" s="125"/>
      <c r="H41" s="125"/>
      <c r="I41" s="125"/>
      <c r="J41" s="124"/>
      <c r="K41" s="124"/>
      <c r="L41" s="124"/>
      <c r="M41" s="124"/>
      <c r="N41" s="124"/>
      <c r="O41" s="124"/>
      <c r="P41" s="124"/>
      <c r="Q41" s="124"/>
    </row>
    <row r="42" spans="4:21" s="97" customFormat="1" ht="20.100000000000001" customHeight="1" x14ac:dyDescent="0.2">
      <c r="D42" s="124"/>
      <c r="E42" s="124"/>
      <c r="F42" s="124"/>
      <c r="G42" s="125"/>
      <c r="H42" s="125"/>
      <c r="I42" s="125"/>
      <c r="J42" s="124"/>
      <c r="K42" s="124"/>
      <c r="L42" s="124"/>
      <c r="M42" s="124"/>
      <c r="N42" s="124"/>
      <c r="O42" s="124"/>
      <c r="P42" s="124"/>
      <c r="Q42" s="124"/>
    </row>
    <row r="43" spans="4:21" s="97" customFormat="1" ht="20.100000000000001" customHeight="1" x14ac:dyDescent="0.2">
      <c r="D43" s="737" t="s">
        <v>1788</v>
      </c>
      <c r="E43" s="737"/>
      <c r="F43" s="737"/>
      <c r="G43" s="737"/>
      <c r="H43" s="737"/>
      <c r="I43" s="737"/>
      <c r="J43" s="737"/>
      <c r="K43" s="737"/>
      <c r="L43" s="737"/>
      <c r="M43" s="737"/>
      <c r="N43" s="737"/>
    </row>
    <row r="44" spans="4:21" s="97" customFormat="1" ht="20.100000000000001" customHeight="1" x14ac:dyDescent="0.2">
      <c r="D44" s="734" t="s">
        <v>224</v>
      </c>
      <c r="E44" s="734"/>
      <c r="F44" s="734"/>
      <c r="G44" s="734" t="s">
        <v>1169</v>
      </c>
      <c r="H44" s="734"/>
      <c r="I44" s="734"/>
      <c r="J44" s="734" t="s">
        <v>1121</v>
      </c>
      <c r="K44" s="734"/>
      <c r="L44" s="736" t="s">
        <v>1172</v>
      </c>
      <c r="M44" s="736"/>
      <c r="N44" s="736"/>
      <c r="O44" s="142"/>
      <c r="P44" s="142"/>
      <c r="Q44" s="124"/>
      <c r="R44" s="124"/>
      <c r="S44" s="124"/>
      <c r="T44" s="124"/>
      <c r="U44" s="124"/>
    </row>
    <row r="45" spans="4:21" s="97" customFormat="1" ht="20.100000000000001" customHeight="1" x14ac:dyDescent="0.2">
      <c r="D45" s="735"/>
      <c r="E45" s="735"/>
      <c r="F45" s="735"/>
      <c r="G45" s="735"/>
      <c r="H45" s="735"/>
      <c r="I45" s="735"/>
      <c r="J45" s="735"/>
      <c r="K45" s="735"/>
      <c r="L45" s="244" t="s">
        <v>1173</v>
      </c>
      <c r="M45" s="244" t="s">
        <v>1174</v>
      </c>
      <c r="N45" s="244" t="s">
        <v>1175</v>
      </c>
      <c r="O45" s="142"/>
      <c r="Q45" s="124"/>
      <c r="R45" s="124"/>
      <c r="S45" s="124"/>
      <c r="T45" s="124"/>
      <c r="U45" s="124"/>
    </row>
    <row r="46" spans="4:21" s="97" customFormat="1" ht="20.100000000000001" customHeight="1" x14ac:dyDescent="0.2">
      <c r="D46" s="731" t="s">
        <v>1281</v>
      </c>
      <c r="E46" s="731"/>
      <c r="F46" s="731"/>
      <c r="G46" s="729" t="s">
        <v>1783</v>
      </c>
      <c r="H46" s="729"/>
      <c r="I46" s="729"/>
      <c r="J46" s="727" t="s">
        <v>1784</v>
      </c>
      <c r="K46" s="727"/>
      <c r="L46" s="239" t="s">
        <v>1282</v>
      </c>
      <c r="M46" s="239" t="s">
        <v>1792</v>
      </c>
      <c r="N46" s="239" t="s">
        <v>1283</v>
      </c>
      <c r="O46" s="129"/>
      <c r="Q46" s="124"/>
      <c r="R46" s="124"/>
      <c r="S46" s="124"/>
      <c r="T46" s="124"/>
      <c r="U46" s="124"/>
    </row>
    <row r="47" spans="4:21" s="97" customFormat="1" ht="20.100000000000001" customHeight="1" x14ac:dyDescent="0.2">
      <c r="D47" s="730" t="s">
        <v>1284</v>
      </c>
      <c r="E47" s="730"/>
      <c r="F47" s="730"/>
      <c r="G47" s="733" t="s">
        <v>1783</v>
      </c>
      <c r="H47" s="733"/>
      <c r="I47" s="733"/>
      <c r="J47" s="733" t="s">
        <v>1784</v>
      </c>
      <c r="K47" s="733"/>
      <c r="L47" s="242" t="s">
        <v>403</v>
      </c>
      <c r="M47" s="242" t="s">
        <v>1793</v>
      </c>
      <c r="N47" s="242" t="s">
        <v>1285</v>
      </c>
      <c r="O47" s="129"/>
      <c r="Q47" s="124"/>
      <c r="R47" s="124"/>
      <c r="S47" s="124"/>
      <c r="T47" s="124"/>
      <c r="U47" s="124"/>
    </row>
    <row r="48" spans="4:21" s="97" customFormat="1" ht="20.100000000000001" customHeight="1" x14ac:dyDescent="0.2">
      <c r="D48" s="731" t="s">
        <v>1286</v>
      </c>
      <c r="E48" s="731"/>
      <c r="F48" s="731"/>
      <c r="G48" s="727" t="s">
        <v>1783</v>
      </c>
      <c r="H48" s="727"/>
      <c r="I48" s="727"/>
      <c r="J48" s="727" t="s">
        <v>1784</v>
      </c>
      <c r="K48" s="727"/>
      <c r="L48" s="239" t="s">
        <v>1287</v>
      </c>
      <c r="M48" s="239" t="s">
        <v>1794</v>
      </c>
      <c r="N48" s="239" t="s">
        <v>1285</v>
      </c>
      <c r="O48" s="129"/>
      <c r="Q48" s="124"/>
      <c r="R48" s="124"/>
      <c r="S48" s="124"/>
      <c r="T48" s="124"/>
      <c r="U48" s="124"/>
    </row>
    <row r="49" spans="4:22" s="97" customFormat="1" ht="20.100000000000001" customHeight="1" x14ac:dyDescent="0.2">
      <c r="D49" s="730" t="s">
        <v>1855</v>
      </c>
      <c r="E49" s="730"/>
      <c r="F49" s="730"/>
      <c r="G49" s="733" t="s">
        <v>1177</v>
      </c>
      <c r="H49" s="733"/>
      <c r="I49" s="733"/>
      <c r="J49" s="733" t="s">
        <v>1785</v>
      </c>
      <c r="K49" s="733"/>
      <c r="L49" s="242" t="s">
        <v>1265</v>
      </c>
      <c r="M49" s="242" t="s">
        <v>1483</v>
      </c>
      <c r="N49" s="242" t="s">
        <v>1484</v>
      </c>
      <c r="O49" s="129"/>
      <c r="Q49" s="124"/>
      <c r="R49" s="124"/>
      <c r="S49" s="124"/>
      <c r="T49" s="124"/>
      <c r="U49" s="124"/>
    </row>
    <row r="50" spans="4:22" s="97" customFormat="1" ht="20.100000000000001" customHeight="1" x14ac:dyDescent="0.2">
      <c r="D50" s="731" t="s">
        <v>1288</v>
      </c>
      <c r="E50" s="731"/>
      <c r="F50" s="731"/>
      <c r="G50" s="727" t="s">
        <v>1786</v>
      </c>
      <c r="H50" s="727"/>
      <c r="I50" s="727"/>
      <c r="J50" s="727" t="s">
        <v>278</v>
      </c>
      <c r="K50" s="727"/>
      <c r="L50" s="239" t="s">
        <v>229</v>
      </c>
      <c r="M50" s="239" t="s">
        <v>1289</v>
      </c>
      <c r="N50" s="239" t="s">
        <v>1255</v>
      </c>
      <c r="O50" s="129"/>
      <c r="Q50" s="124"/>
      <c r="R50" s="124"/>
      <c r="S50" s="124"/>
      <c r="T50" s="124"/>
      <c r="U50" s="124"/>
    </row>
    <row r="51" spans="4:22" s="97" customFormat="1" ht="20.100000000000001" customHeight="1" x14ac:dyDescent="0.2">
      <c r="D51" s="730" t="s">
        <v>248</v>
      </c>
      <c r="E51" s="730"/>
      <c r="F51" s="730"/>
      <c r="G51" s="733" t="s">
        <v>249</v>
      </c>
      <c r="H51" s="733"/>
      <c r="I51" s="733"/>
      <c r="J51" s="733" t="s">
        <v>1784</v>
      </c>
      <c r="K51" s="733"/>
      <c r="L51" s="242" t="s">
        <v>250</v>
      </c>
      <c r="M51" s="242" t="s">
        <v>1795</v>
      </c>
      <c r="N51" s="242" t="s">
        <v>251</v>
      </c>
      <c r="O51" s="129"/>
      <c r="Q51" s="124"/>
      <c r="R51" s="124"/>
      <c r="S51" s="124"/>
      <c r="T51" s="124"/>
      <c r="U51" s="124"/>
    </row>
    <row r="52" spans="4:22" s="97" customFormat="1" ht="20.100000000000001" customHeight="1" x14ac:dyDescent="0.2">
      <c r="D52" s="731" t="s">
        <v>252</v>
      </c>
      <c r="E52" s="731"/>
      <c r="F52" s="731"/>
      <c r="G52" s="727" t="s">
        <v>253</v>
      </c>
      <c r="H52" s="727"/>
      <c r="I52" s="727"/>
      <c r="J52" s="727" t="s">
        <v>1784</v>
      </c>
      <c r="K52" s="727"/>
      <c r="L52" s="239" t="s">
        <v>254</v>
      </c>
      <c r="M52" s="239" t="s">
        <v>1796</v>
      </c>
      <c r="N52" s="239" t="s">
        <v>251</v>
      </c>
      <c r="O52" s="129"/>
      <c r="Q52" s="124"/>
      <c r="R52" s="124"/>
      <c r="S52" s="124"/>
      <c r="T52" s="124"/>
      <c r="U52" s="124"/>
    </row>
    <row r="53" spans="4:22" s="97" customFormat="1" ht="20.100000000000001" customHeight="1" x14ac:dyDescent="0.2">
      <c r="D53" s="730" t="s">
        <v>255</v>
      </c>
      <c r="E53" s="730"/>
      <c r="F53" s="730"/>
      <c r="G53" s="733" t="s">
        <v>256</v>
      </c>
      <c r="H53" s="733"/>
      <c r="I53" s="733"/>
      <c r="J53" s="733" t="s">
        <v>1784</v>
      </c>
      <c r="K53" s="733"/>
      <c r="L53" s="242" t="s">
        <v>250</v>
      </c>
      <c r="M53" s="242" t="s">
        <v>1797</v>
      </c>
      <c r="N53" s="242" t="s">
        <v>257</v>
      </c>
      <c r="O53" s="129"/>
      <c r="Q53" s="124"/>
      <c r="R53" s="124"/>
      <c r="S53" s="124"/>
      <c r="T53" s="124"/>
      <c r="U53" s="124"/>
    </row>
    <row r="54" spans="4:22" s="97" customFormat="1" ht="20.100000000000001" customHeight="1" x14ac:dyDescent="0.2">
      <c r="D54" s="731" t="s">
        <v>258</v>
      </c>
      <c r="E54" s="731"/>
      <c r="F54" s="731"/>
      <c r="G54" s="727" t="s">
        <v>259</v>
      </c>
      <c r="H54" s="727"/>
      <c r="I54" s="727"/>
      <c r="J54" s="727" t="s">
        <v>1784</v>
      </c>
      <c r="K54" s="727"/>
      <c r="L54" s="239" t="s">
        <v>260</v>
      </c>
      <c r="M54" s="239" t="s">
        <v>261</v>
      </c>
      <c r="N54" s="239" t="s">
        <v>1255</v>
      </c>
      <c r="O54" s="129"/>
      <c r="Q54" s="124"/>
      <c r="R54" s="124"/>
      <c r="S54" s="124"/>
      <c r="T54" s="124"/>
      <c r="U54" s="124"/>
    </row>
    <row r="55" spans="4:22" s="97" customFormat="1" ht="20.100000000000001" customHeight="1" x14ac:dyDescent="0.2">
      <c r="D55" s="730" t="s">
        <v>262</v>
      </c>
      <c r="E55" s="730"/>
      <c r="F55" s="730"/>
      <c r="G55" s="733" t="s">
        <v>263</v>
      </c>
      <c r="H55" s="733"/>
      <c r="I55" s="733"/>
      <c r="J55" s="733" t="s">
        <v>341</v>
      </c>
      <c r="K55" s="733"/>
      <c r="L55" s="242" t="s">
        <v>264</v>
      </c>
      <c r="M55" s="242" t="s">
        <v>265</v>
      </c>
      <c r="N55" s="242" t="s">
        <v>266</v>
      </c>
      <c r="O55" s="129"/>
      <c r="Q55" s="124"/>
      <c r="R55" s="124"/>
      <c r="S55" s="124"/>
      <c r="T55" s="124"/>
      <c r="U55" s="124"/>
    </row>
    <row r="56" spans="4:22" s="97" customFormat="1" ht="20.100000000000001" customHeight="1" x14ac:dyDescent="0.2">
      <c r="D56" s="731" t="s">
        <v>267</v>
      </c>
      <c r="E56" s="731"/>
      <c r="F56" s="731"/>
      <c r="G56" s="727" t="s">
        <v>268</v>
      </c>
      <c r="H56" s="727"/>
      <c r="I56" s="727"/>
      <c r="J56" s="727" t="s">
        <v>341</v>
      </c>
      <c r="K56" s="727"/>
      <c r="L56" s="239" t="s">
        <v>950</v>
      </c>
      <c r="M56" s="239" t="s">
        <v>1260</v>
      </c>
      <c r="N56" s="239" t="s">
        <v>1262</v>
      </c>
      <c r="O56" s="129"/>
      <c r="Q56" s="124"/>
      <c r="R56" s="124"/>
      <c r="S56" s="124"/>
      <c r="T56" s="124"/>
      <c r="U56" s="124"/>
    </row>
    <row r="57" spans="4:22" s="97" customFormat="1" ht="20.100000000000001" customHeight="1" x14ac:dyDescent="0.2">
      <c r="D57" s="730" t="s">
        <v>1486</v>
      </c>
      <c r="E57" s="730"/>
      <c r="F57" s="730"/>
      <c r="G57" s="733" t="s">
        <v>1485</v>
      </c>
      <c r="H57" s="733"/>
      <c r="I57" s="733"/>
      <c r="J57" s="733" t="s">
        <v>341</v>
      </c>
      <c r="K57" s="733"/>
      <c r="L57" s="242" t="s">
        <v>1488</v>
      </c>
      <c r="M57" s="143" t="s">
        <v>1489</v>
      </c>
      <c r="N57" s="242" t="s">
        <v>1487</v>
      </c>
      <c r="O57" s="129"/>
      <c r="Q57" s="124"/>
      <c r="R57" s="124"/>
      <c r="S57" s="124"/>
      <c r="T57" s="124"/>
      <c r="U57" s="124"/>
    </row>
    <row r="58" spans="4:22" s="97" customFormat="1" ht="20.100000000000001" customHeight="1" x14ac:dyDescent="0.2">
      <c r="D58" s="732" t="s">
        <v>269</v>
      </c>
      <c r="E58" s="732"/>
      <c r="F58" s="732"/>
      <c r="G58" s="728" t="s">
        <v>270</v>
      </c>
      <c r="H58" s="728"/>
      <c r="I58" s="728"/>
      <c r="J58" s="728" t="s">
        <v>1787</v>
      </c>
      <c r="K58" s="728"/>
      <c r="L58" s="240" t="s">
        <v>1282</v>
      </c>
      <c r="M58" s="240" t="s">
        <v>1798</v>
      </c>
      <c r="N58" s="240" t="s">
        <v>271</v>
      </c>
      <c r="O58" s="129"/>
      <c r="Q58" s="124"/>
      <c r="R58" s="124"/>
      <c r="S58" s="124"/>
      <c r="T58" s="124"/>
      <c r="U58" s="124"/>
    </row>
    <row r="59" spans="4:22" s="97" customFormat="1" ht="20.100000000000001" customHeight="1" x14ac:dyDescent="0.2">
      <c r="E59" s="124"/>
      <c r="F59" s="124"/>
      <c r="G59" s="125"/>
      <c r="H59" s="125"/>
      <c r="I59" s="125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4:22" s="97" customFormat="1" ht="20.100000000000001" customHeight="1" x14ac:dyDescent="0.2">
      <c r="G60" s="248"/>
      <c r="H60" s="248"/>
      <c r="I60" s="248"/>
    </row>
    <row r="61" spans="4:22" s="97" customFormat="1" ht="20.100000000000001" customHeight="1" x14ac:dyDescent="0.2">
      <c r="E61" s="737" t="s">
        <v>1782</v>
      </c>
      <c r="F61" s="737"/>
      <c r="G61" s="737"/>
      <c r="H61" s="737"/>
      <c r="I61" s="737"/>
      <c r="J61" s="737"/>
      <c r="K61" s="737"/>
      <c r="L61" s="737"/>
      <c r="M61" s="737"/>
    </row>
    <row r="62" spans="4:22" s="97" customFormat="1" ht="20.100000000000001" customHeight="1" x14ac:dyDescent="0.2">
      <c r="E62" s="734" t="s">
        <v>224</v>
      </c>
      <c r="F62" s="734"/>
      <c r="G62" s="734" t="s">
        <v>1169</v>
      </c>
      <c r="H62" s="734"/>
      <c r="I62" s="734" t="s">
        <v>1121</v>
      </c>
      <c r="J62" s="734"/>
      <c r="K62" s="736" t="s">
        <v>1172</v>
      </c>
      <c r="L62" s="736"/>
      <c r="M62" s="736"/>
      <c r="N62" s="124"/>
      <c r="O62" s="124"/>
      <c r="P62" s="124"/>
      <c r="Q62" s="124"/>
      <c r="R62" s="124"/>
      <c r="S62" s="124"/>
      <c r="T62" s="124"/>
      <c r="U62" s="124"/>
      <c r="V62" s="124"/>
    </row>
    <row r="63" spans="4:22" s="97" customFormat="1" ht="20.100000000000001" customHeight="1" x14ac:dyDescent="0.2">
      <c r="E63" s="735"/>
      <c r="F63" s="735"/>
      <c r="G63" s="735"/>
      <c r="H63" s="735"/>
      <c r="I63" s="735"/>
      <c r="J63" s="735"/>
      <c r="K63" s="244" t="s">
        <v>1173</v>
      </c>
      <c r="L63" s="244" t="s">
        <v>1174</v>
      </c>
      <c r="M63" s="244" t="s">
        <v>1175</v>
      </c>
      <c r="N63" s="142"/>
      <c r="O63" s="124"/>
      <c r="P63" s="124"/>
      <c r="Q63" s="124"/>
      <c r="R63" s="124"/>
      <c r="S63" s="124"/>
      <c r="T63" s="124"/>
      <c r="U63" s="124"/>
      <c r="V63" s="124"/>
    </row>
    <row r="64" spans="4:22" s="97" customFormat="1" ht="20.100000000000001" customHeight="1" x14ac:dyDescent="0.2">
      <c r="E64" s="729" t="s">
        <v>272</v>
      </c>
      <c r="F64" s="729"/>
      <c r="G64" s="727" t="s">
        <v>273</v>
      </c>
      <c r="H64" s="727"/>
      <c r="I64" s="727" t="s">
        <v>278</v>
      </c>
      <c r="J64" s="727"/>
      <c r="K64" s="239" t="s">
        <v>1287</v>
      </c>
      <c r="L64" s="239" t="s">
        <v>1799</v>
      </c>
      <c r="M64" s="239" t="s">
        <v>279</v>
      </c>
      <c r="N64" s="129"/>
      <c r="O64" s="124"/>
      <c r="P64" s="124"/>
      <c r="Q64" s="124"/>
      <c r="R64" s="124"/>
      <c r="S64" s="124"/>
      <c r="T64" s="124"/>
      <c r="U64" s="124"/>
      <c r="V64" s="124"/>
    </row>
    <row r="65" spans="4:22" s="97" customFormat="1" ht="20.100000000000001" customHeight="1" x14ac:dyDescent="0.2">
      <c r="E65" s="733" t="s">
        <v>274</v>
      </c>
      <c r="F65" s="733"/>
      <c r="G65" s="733" t="s">
        <v>1177</v>
      </c>
      <c r="H65" s="733"/>
      <c r="I65" s="733" t="s">
        <v>278</v>
      </c>
      <c r="J65" s="733"/>
      <c r="K65" s="242" t="s">
        <v>280</v>
      </c>
      <c r="L65" s="242" t="s">
        <v>1800</v>
      </c>
      <c r="M65" s="242" t="s">
        <v>281</v>
      </c>
      <c r="N65" s="129"/>
      <c r="O65" s="124"/>
      <c r="P65" s="124"/>
      <c r="Q65" s="124"/>
      <c r="R65" s="124"/>
      <c r="S65" s="124"/>
      <c r="T65" s="124"/>
      <c r="U65" s="124"/>
      <c r="V65" s="124"/>
    </row>
    <row r="66" spans="4:22" s="97" customFormat="1" ht="20.100000000000001" customHeight="1" x14ac:dyDescent="0.2">
      <c r="E66" s="727" t="s">
        <v>275</v>
      </c>
      <c r="F66" s="727"/>
      <c r="G66" s="727" t="s">
        <v>1177</v>
      </c>
      <c r="H66" s="727"/>
      <c r="I66" s="727" t="s">
        <v>278</v>
      </c>
      <c r="J66" s="727"/>
      <c r="K66" s="239" t="s">
        <v>282</v>
      </c>
      <c r="L66" s="239" t="s">
        <v>1801</v>
      </c>
      <c r="M66" s="239" t="s">
        <v>283</v>
      </c>
      <c r="N66" s="129"/>
      <c r="O66" s="124"/>
      <c r="P66" s="124"/>
      <c r="Q66" s="124"/>
      <c r="R66" s="124"/>
      <c r="S66" s="124"/>
      <c r="T66" s="124"/>
      <c r="U66" s="124"/>
      <c r="V66" s="124"/>
    </row>
    <row r="67" spans="4:22" s="97" customFormat="1" ht="20.100000000000001" customHeight="1" x14ac:dyDescent="0.2">
      <c r="E67" s="733" t="s">
        <v>276</v>
      </c>
      <c r="F67" s="733"/>
      <c r="G67" s="733" t="s">
        <v>1177</v>
      </c>
      <c r="H67" s="733"/>
      <c r="I67" s="733" t="s">
        <v>278</v>
      </c>
      <c r="J67" s="733"/>
      <c r="K67" s="242" t="s">
        <v>950</v>
      </c>
      <c r="L67" s="242" t="s">
        <v>284</v>
      </c>
      <c r="M67" s="242" t="s">
        <v>285</v>
      </c>
      <c r="N67" s="129"/>
      <c r="O67" s="124"/>
      <c r="P67" s="124"/>
      <c r="Q67" s="124"/>
      <c r="R67" s="124"/>
      <c r="S67" s="124"/>
      <c r="T67" s="124"/>
      <c r="U67" s="124"/>
      <c r="V67" s="124"/>
    </row>
    <row r="68" spans="4:22" s="97" customFormat="1" ht="20.100000000000001" customHeight="1" x14ac:dyDescent="0.2">
      <c r="E68" s="728" t="s">
        <v>277</v>
      </c>
      <c r="F68" s="728"/>
      <c r="G68" s="728" t="s">
        <v>1177</v>
      </c>
      <c r="H68" s="728"/>
      <c r="I68" s="728" t="s">
        <v>278</v>
      </c>
      <c r="J68" s="728"/>
      <c r="K68" s="240" t="s">
        <v>229</v>
      </c>
      <c r="L68" s="240" t="s">
        <v>286</v>
      </c>
      <c r="M68" s="240" t="s">
        <v>244</v>
      </c>
      <c r="N68" s="129"/>
      <c r="O68" s="124"/>
      <c r="P68" s="124"/>
      <c r="Q68" s="124"/>
      <c r="R68" s="124"/>
      <c r="S68" s="124"/>
      <c r="T68" s="124"/>
      <c r="U68" s="124"/>
      <c r="V68" s="124"/>
    </row>
    <row r="69" spans="4:22" ht="15" customHeight="1" x14ac:dyDescent="0.2">
      <c r="D69" s="46"/>
      <c r="E69" s="144"/>
      <c r="F69" s="144"/>
      <c r="G69" s="145"/>
      <c r="H69" s="145"/>
      <c r="I69" s="145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</row>
    <row r="70" spans="4:22" ht="15" hidden="1" customHeight="1" x14ac:dyDescent="0.2">
      <c r="D70" s="46"/>
      <c r="E70" s="46"/>
      <c r="F70" s="46"/>
      <c r="G70" s="146"/>
      <c r="H70" s="146"/>
      <c r="I70" s="146"/>
    </row>
    <row r="71" spans="4:22" ht="15" hidden="1" customHeight="1" x14ac:dyDescent="0.2">
      <c r="D71" s="46"/>
      <c r="E71" s="46"/>
      <c r="F71" s="46"/>
      <c r="G71" s="146"/>
      <c r="H71" s="146"/>
      <c r="I71" s="146"/>
    </row>
    <row r="77" spans="4:22" ht="15" customHeight="1" x14ac:dyDescent="0.2"/>
    <row r="86" ht="15" customHeight="1" x14ac:dyDescent="0.2"/>
    <row r="87" ht="15" customHeight="1" x14ac:dyDescent="0.2"/>
  </sheetData>
  <sheetProtection algorithmName="SHA-512" hashValue="NF0IYIp3GSMK9Nv5c+sZ5hRUcxAJLW/Nc5RTPGBNbB0oMK6hExLtv6bZoY9A7FcgyHPxtZ1TJsXCL8gKszoOdA==" saltValue="Y5l5h5swgKdTJ9GoKDBN3A==" spinCount="100000" sheet="1" objects="1" scenarios="1"/>
  <mergeCells count="105">
    <mergeCell ref="J50:K50"/>
    <mergeCell ref="J51:K51"/>
    <mergeCell ref="J52:K52"/>
    <mergeCell ref="J53:K53"/>
    <mergeCell ref="J54:K54"/>
    <mergeCell ref="J55:K55"/>
    <mergeCell ref="J56:K56"/>
    <mergeCell ref="J57:K57"/>
    <mergeCell ref="D23:E24"/>
    <mergeCell ref="F23:F24"/>
    <mergeCell ref="G23:H24"/>
    <mergeCell ref="I23:J24"/>
    <mergeCell ref="J44:K45"/>
    <mergeCell ref="D37:E38"/>
    <mergeCell ref="F37:F38"/>
    <mergeCell ref="G37:H38"/>
    <mergeCell ref="I37:J38"/>
    <mergeCell ref="D26:E26"/>
    <mergeCell ref="G26:H26"/>
    <mergeCell ref="D32:E32"/>
    <mergeCell ref="G32:H32"/>
    <mergeCell ref="D43:N43"/>
    <mergeCell ref="D36:M36"/>
    <mergeCell ref="D44:F45"/>
    <mergeCell ref="K37:M37"/>
    <mergeCell ref="L44:N44"/>
    <mergeCell ref="F9:G9"/>
    <mergeCell ref="F11:G11"/>
    <mergeCell ref="H21:I21"/>
    <mergeCell ref="L23:N23"/>
    <mergeCell ref="D22:N22"/>
    <mergeCell ref="D29:E29"/>
    <mergeCell ref="G29:H29"/>
    <mergeCell ref="I25:J27"/>
    <mergeCell ref="I28:J30"/>
    <mergeCell ref="I31:J33"/>
    <mergeCell ref="E16:F17"/>
    <mergeCell ref="E18:F18"/>
    <mergeCell ref="E19:F19"/>
    <mergeCell ref="I9:L9"/>
    <mergeCell ref="E15:L15"/>
    <mergeCell ref="F6:K6"/>
    <mergeCell ref="J10:K10"/>
    <mergeCell ref="J11:K11"/>
    <mergeCell ref="J12:K12"/>
    <mergeCell ref="F10:G10"/>
    <mergeCell ref="F12:G12"/>
    <mergeCell ref="E64:F64"/>
    <mergeCell ref="E65:F65"/>
    <mergeCell ref="G68:H68"/>
    <mergeCell ref="I64:J64"/>
    <mergeCell ref="I65:J65"/>
    <mergeCell ref="I66:J66"/>
    <mergeCell ref="I67:J67"/>
    <mergeCell ref="I68:J68"/>
    <mergeCell ref="G64:H64"/>
    <mergeCell ref="G65:H65"/>
    <mergeCell ref="G66:H66"/>
    <mergeCell ref="G67:H67"/>
    <mergeCell ref="E68:F68"/>
    <mergeCell ref="E67:F67"/>
    <mergeCell ref="J46:K46"/>
    <mergeCell ref="J47:K47"/>
    <mergeCell ref="J48:K48"/>
    <mergeCell ref="J49:K49"/>
    <mergeCell ref="K62:M62"/>
    <mergeCell ref="G55:I55"/>
    <mergeCell ref="G56:I56"/>
    <mergeCell ref="G57:I57"/>
    <mergeCell ref="G58:I58"/>
    <mergeCell ref="E66:F66"/>
    <mergeCell ref="I62:J63"/>
    <mergeCell ref="D52:F52"/>
    <mergeCell ref="D53:F53"/>
    <mergeCell ref="D54:F54"/>
    <mergeCell ref="G52:I52"/>
    <mergeCell ref="G53:I53"/>
    <mergeCell ref="G54:I54"/>
    <mergeCell ref="E61:M61"/>
    <mergeCell ref="E62:F63"/>
    <mergeCell ref="G62:H63"/>
    <mergeCell ref="E8:M8"/>
    <mergeCell ref="I39:J39"/>
    <mergeCell ref="I40:J40"/>
    <mergeCell ref="G39:H40"/>
    <mergeCell ref="D55:F55"/>
    <mergeCell ref="D56:F56"/>
    <mergeCell ref="D57:F57"/>
    <mergeCell ref="D58:F58"/>
    <mergeCell ref="D39:E40"/>
    <mergeCell ref="F39:F40"/>
    <mergeCell ref="G49:I49"/>
    <mergeCell ref="G50:I50"/>
    <mergeCell ref="G51:I51"/>
    <mergeCell ref="D46:F46"/>
    <mergeCell ref="D47:F47"/>
    <mergeCell ref="D48:F48"/>
    <mergeCell ref="D49:F49"/>
    <mergeCell ref="D50:F50"/>
    <mergeCell ref="D51:F51"/>
    <mergeCell ref="G46:I46"/>
    <mergeCell ref="G47:I47"/>
    <mergeCell ref="G48:I48"/>
    <mergeCell ref="J58:K58"/>
    <mergeCell ref="G44:I45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8" fitToHeight="2" orientation="portrait" cellComments="atEnd" horizontalDpi="360" verticalDpi="360" r:id="rId1"/>
  <headerFooter alignWithMargins="0"/>
  <rowBreaks count="1" manualBreakCount="1">
    <brk id="41" min="2" max="1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1:P61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G6" s="749" t="s">
        <v>1771</v>
      </c>
      <c r="H6" s="749"/>
      <c r="I6" s="749"/>
      <c r="J6" s="749"/>
    </row>
    <row r="7" spans="1:16" ht="15" customHeight="1" x14ac:dyDescent="0.25">
      <c r="D7" s="147" t="s">
        <v>539</v>
      </c>
      <c r="E7" s="147"/>
      <c r="F7" s="148"/>
      <c r="G7" s="148"/>
      <c r="H7" s="148"/>
      <c r="I7" s="148"/>
      <c r="J7" s="148"/>
      <c r="K7" s="147"/>
      <c r="L7" s="149" t="s">
        <v>202</v>
      </c>
      <c r="M7" s="148"/>
    </row>
    <row r="8" spans="1:16" ht="15" customHeight="1" x14ac:dyDescent="0.25">
      <c r="D8" s="46" t="s">
        <v>815</v>
      </c>
      <c r="E8" s="46"/>
      <c r="F8" s="46"/>
      <c r="G8" s="46"/>
      <c r="H8" s="46"/>
      <c r="I8" s="47"/>
      <c r="J8" s="46"/>
      <c r="K8" s="46"/>
      <c r="L8" s="146" t="s">
        <v>203</v>
      </c>
      <c r="M8" s="46"/>
    </row>
    <row r="9" spans="1:16" ht="15" customHeight="1" x14ac:dyDescent="0.2">
      <c r="D9" s="46" t="s">
        <v>814</v>
      </c>
      <c r="E9" s="46"/>
      <c r="F9" s="46"/>
      <c r="G9" s="46"/>
      <c r="H9" s="46"/>
      <c r="I9" s="46"/>
      <c r="J9" s="46"/>
      <c r="K9" s="46"/>
      <c r="L9" s="146" t="s">
        <v>204</v>
      </c>
      <c r="M9" s="46"/>
    </row>
    <row r="10" spans="1:16" ht="15" customHeight="1" x14ac:dyDescent="0.2">
      <c r="D10" s="46" t="s">
        <v>813</v>
      </c>
      <c r="E10" s="46"/>
      <c r="F10" s="46"/>
      <c r="G10" s="46"/>
      <c r="H10" s="46"/>
      <c r="I10" s="46"/>
      <c r="J10" s="46"/>
      <c r="K10" s="46"/>
      <c r="L10" s="146" t="s">
        <v>205</v>
      </c>
      <c r="M10" s="46"/>
    </row>
    <row r="11" spans="1:16" ht="15" customHeight="1" x14ac:dyDescent="0.2">
      <c r="D11" s="46" t="s">
        <v>206</v>
      </c>
      <c r="E11" s="46"/>
      <c r="F11" s="46"/>
      <c r="G11" s="46"/>
      <c r="H11" s="46"/>
      <c r="I11" s="46"/>
      <c r="J11" s="46"/>
      <c r="K11" s="46"/>
      <c r="L11" s="146" t="s">
        <v>207</v>
      </c>
      <c r="M11" s="46"/>
    </row>
    <row r="12" spans="1:16" ht="15" customHeight="1" x14ac:dyDescent="0.2">
      <c r="D12" s="46" t="s">
        <v>810</v>
      </c>
      <c r="E12" s="46"/>
      <c r="F12" s="46"/>
      <c r="G12" s="46"/>
      <c r="H12" s="46"/>
      <c r="I12" s="46"/>
      <c r="J12" s="46"/>
      <c r="K12" s="46"/>
      <c r="L12" s="146" t="s">
        <v>208</v>
      </c>
      <c r="M12" s="46"/>
    </row>
    <row r="13" spans="1:16" ht="15" customHeight="1" x14ac:dyDescent="0.2">
      <c r="D13" s="46" t="s">
        <v>811</v>
      </c>
      <c r="E13" s="46"/>
      <c r="F13" s="46"/>
      <c r="G13" s="46"/>
      <c r="H13" s="46"/>
      <c r="I13" s="46"/>
      <c r="J13" s="46"/>
      <c r="K13" s="46"/>
      <c r="L13" s="146" t="s">
        <v>209</v>
      </c>
      <c r="M13" s="46"/>
    </row>
    <row r="14" spans="1:16" ht="15" customHeight="1" x14ac:dyDescent="0.2">
      <c r="D14" s="46" t="s">
        <v>818</v>
      </c>
      <c r="E14" s="46"/>
      <c r="F14" s="46"/>
      <c r="G14" s="46"/>
      <c r="H14" s="46"/>
      <c r="I14" s="46"/>
      <c r="J14" s="46"/>
      <c r="K14" s="46"/>
      <c r="L14" s="146" t="s">
        <v>210</v>
      </c>
      <c r="M14" s="46"/>
    </row>
    <row r="15" spans="1:16" ht="15" customHeight="1" x14ac:dyDescent="0.2">
      <c r="D15" s="46" t="s">
        <v>819</v>
      </c>
      <c r="E15" s="46"/>
      <c r="F15" s="46"/>
      <c r="G15" s="46"/>
      <c r="H15" s="46"/>
      <c r="I15" s="46"/>
      <c r="J15" s="46"/>
      <c r="K15" s="46"/>
      <c r="L15" s="146" t="s">
        <v>211</v>
      </c>
      <c r="M15" s="46"/>
    </row>
    <row r="16" spans="1:16" ht="15" customHeight="1" x14ac:dyDescent="0.2">
      <c r="D16" s="46" t="s">
        <v>854</v>
      </c>
      <c r="E16" s="46"/>
      <c r="F16" s="46"/>
      <c r="G16" s="46"/>
      <c r="H16" s="46"/>
      <c r="I16" s="46"/>
      <c r="J16" s="46"/>
      <c r="K16" s="46"/>
      <c r="L16" s="146" t="s">
        <v>212</v>
      </c>
      <c r="M16" s="46"/>
    </row>
    <row r="17" spans="4:13" ht="15" customHeight="1" x14ac:dyDescent="0.2">
      <c r="D17" s="46" t="s">
        <v>1674</v>
      </c>
      <c r="E17" s="46"/>
      <c r="F17" s="46"/>
      <c r="G17" s="46"/>
      <c r="H17" s="46"/>
      <c r="I17" s="46"/>
      <c r="J17" s="46"/>
      <c r="K17" s="46"/>
      <c r="L17" s="146" t="s">
        <v>10</v>
      </c>
      <c r="M17" s="46"/>
    </row>
    <row r="18" spans="4:13" ht="15" customHeight="1" x14ac:dyDescent="0.2">
      <c r="D18" s="46" t="s">
        <v>1675</v>
      </c>
      <c r="E18" s="46"/>
      <c r="F18" s="46"/>
      <c r="G18" s="46"/>
      <c r="H18" s="46"/>
      <c r="I18" s="46"/>
      <c r="J18" s="46"/>
      <c r="K18" s="46"/>
      <c r="L18" s="146" t="s">
        <v>10</v>
      </c>
      <c r="M18" s="46"/>
    </row>
    <row r="19" spans="4:13" ht="15" customHeight="1" x14ac:dyDescent="0.2">
      <c r="D19" s="46" t="s">
        <v>11</v>
      </c>
      <c r="E19" s="46"/>
      <c r="F19" s="46"/>
      <c r="G19" s="46"/>
      <c r="H19" s="46"/>
      <c r="I19" s="46"/>
      <c r="J19" s="46"/>
      <c r="K19" s="46"/>
      <c r="L19" s="146" t="s">
        <v>12</v>
      </c>
      <c r="M19" s="46"/>
    </row>
    <row r="20" spans="4:13" ht="15" customHeight="1" x14ac:dyDescent="0.2">
      <c r="D20" s="97" t="s">
        <v>36</v>
      </c>
      <c r="E20" s="46"/>
      <c r="F20" s="46"/>
      <c r="G20" s="46"/>
      <c r="H20" s="46"/>
      <c r="I20" s="46"/>
      <c r="J20" s="46"/>
      <c r="K20" s="46"/>
      <c r="L20" s="97"/>
      <c r="M20" s="150" t="s">
        <v>1007</v>
      </c>
    </row>
    <row r="21" spans="4:13" ht="15" customHeight="1" x14ac:dyDescent="0.2">
      <c r="D21" s="46" t="s">
        <v>404</v>
      </c>
      <c r="E21" s="46"/>
      <c r="F21" s="46"/>
      <c r="G21" s="46"/>
      <c r="H21" s="46"/>
      <c r="I21" s="46"/>
      <c r="J21" s="46"/>
      <c r="K21" s="46"/>
      <c r="L21" s="146" t="s">
        <v>10</v>
      </c>
      <c r="M21" s="46"/>
    </row>
    <row r="22" spans="4:13" ht="15" customHeight="1" x14ac:dyDescent="0.2">
      <c r="D22" s="46" t="s">
        <v>817</v>
      </c>
      <c r="E22" s="46"/>
      <c r="F22" s="46"/>
      <c r="G22" s="46"/>
      <c r="H22" s="46"/>
      <c r="I22" s="46"/>
      <c r="J22" s="46"/>
      <c r="K22" s="46"/>
      <c r="L22" s="146" t="s">
        <v>405</v>
      </c>
      <c r="M22" s="46"/>
    </row>
    <row r="23" spans="4:13" ht="15" customHeight="1" x14ac:dyDescent="0.2">
      <c r="D23" s="46" t="s">
        <v>860</v>
      </c>
      <c r="E23" s="46"/>
      <c r="F23" s="46"/>
      <c r="G23" s="46"/>
      <c r="H23" s="46"/>
      <c r="I23" s="46"/>
      <c r="J23" s="46"/>
      <c r="K23" s="46"/>
      <c r="L23" s="146" t="s">
        <v>406</v>
      </c>
      <c r="M23" s="46"/>
    </row>
    <row r="24" spans="4:13" ht="15" customHeight="1" x14ac:dyDescent="0.2">
      <c r="D24" s="46" t="s">
        <v>861</v>
      </c>
      <c r="E24" s="46"/>
      <c r="F24" s="46"/>
      <c r="G24" s="46"/>
      <c r="H24" s="46"/>
      <c r="I24" s="46"/>
      <c r="J24" s="46"/>
      <c r="K24" s="46"/>
      <c r="L24" s="146" t="s">
        <v>406</v>
      </c>
      <c r="M24" s="46"/>
    </row>
    <row r="25" spans="4:13" ht="15" customHeight="1" x14ac:dyDescent="0.2">
      <c r="D25" s="46" t="s">
        <v>862</v>
      </c>
      <c r="E25" s="46"/>
      <c r="F25" s="46"/>
      <c r="G25" s="46"/>
      <c r="H25" s="46"/>
      <c r="I25" s="46"/>
      <c r="J25" s="46"/>
      <c r="K25" s="46"/>
      <c r="L25" s="146" t="s">
        <v>407</v>
      </c>
      <c r="M25" s="46"/>
    </row>
    <row r="26" spans="4:13" ht="15" customHeight="1" x14ac:dyDescent="0.2">
      <c r="D26" s="46" t="s">
        <v>408</v>
      </c>
      <c r="E26" s="46"/>
      <c r="F26" s="46"/>
      <c r="G26" s="46"/>
      <c r="H26" s="46"/>
      <c r="I26" s="46"/>
      <c r="J26" s="46"/>
      <c r="K26" s="46"/>
      <c r="L26" s="146" t="s">
        <v>409</v>
      </c>
      <c r="M26" s="46"/>
    </row>
    <row r="27" spans="4:13" ht="15" customHeight="1" x14ac:dyDescent="0.2">
      <c r="D27" s="46" t="s">
        <v>868</v>
      </c>
      <c r="E27" s="46"/>
      <c r="F27" s="46"/>
      <c r="G27" s="46"/>
      <c r="H27" s="46"/>
      <c r="I27" s="46"/>
      <c r="J27" s="46"/>
      <c r="K27" s="46"/>
      <c r="L27" s="146" t="s">
        <v>410</v>
      </c>
      <c r="M27" s="46"/>
    </row>
    <row r="28" spans="4:13" ht="15" customHeight="1" x14ac:dyDescent="0.2">
      <c r="D28" s="46" t="s">
        <v>878</v>
      </c>
      <c r="E28" s="46"/>
      <c r="F28" s="46"/>
      <c r="G28" s="46"/>
      <c r="H28" s="46"/>
      <c r="I28" s="46"/>
      <c r="J28" s="46"/>
      <c r="K28" s="46"/>
      <c r="L28" s="146" t="s">
        <v>411</v>
      </c>
      <c r="M28" s="46"/>
    </row>
    <row r="29" spans="4:13" ht="15" customHeight="1" x14ac:dyDescent="0.2">
      <c r="D29" s="46" t="s">
        <v>874</v>
      </c>
      <c r="E29" s="46"/>
      <c r="F29" s="46"/>
      <c r="G29" s="46"/>
      <c r="H29" s="46"/>
      <c r="I29" s="46"/>
      <c r="J29" s="46"/>
      <c r="K29" s="46"/>
      <c r="L29" s="146" t="s">
        <v>412</v>
      </c>
      <c r="M29" s="46"/>
    </row>
    <row r="30" spans="4:13" ht="15" customHeight="1" x14ac:dyDescent="0.2">
      <c r="D30" s="46" t="s">
        <v>875</v>
      </c>
      <c r="E30" s="46"/>
      <c r="F30" s="46"/>
      <c r="G30" s="46"/>
      <c r="H30" s="46"/>
      <c r="I30" s="46"/>
      <c r="J30" s="46"/>
      <c r="K30" s="46"/>
      <c r="L30" s="146" t="s">
        <v>413</v>
      </c>
      <c r="M30" s="46"/>
    </row>
    <row r="31" spans="4:13" ht="15" customHeight="1" x14ac:dyDescent="0.2">
      <c r="D31" s="46" t="s">
        <v>883</v>
      </c>
      <c r="E31" s="46"/>
      <c r="F31" s="46"/>
      <c r="G31" s="46"/>
      <c r="H31" s="46"/>
      <c r="I31" s="46"/>
      <c r="J31" s="46"/>
      <c r="K31" s="46"/>
      <c r="L31" s="146" t="s">
        <v>414</v>
      </c>
      <c r="M31" s="46"/>
    </row>
    <row r="32" spans="4:13" ht="15" customHeight="1" x14ac:dyDescent="0.2">
      <c r="D32" s="46" t="s">
        <v>415</v>
      </c>
      <c r="E32" s="46"/>
      <c r="F32" s="46"/>
      <c r="G32" s="46"/>
      <c r="H32" s="46"/>
      <c r="I32" s="46"/>
      <c r="J32" s="46"/>
      <c r="K32" s="46"/>
      <c r="L32" s="146" t="s">
        <v>416</v>
      </c>
      <c r="M32" s="46"/>
    </row>
    <row r="33" spans="2:13" ht="15" customHeight="1" x14ac:dyDescent="0.2">
      <c r="D33" s="46" t="s">
        <v>417</v>
      </c>
      <c r="E33" s="46"/>
      <c r="F33" s="46"/>
      <c r="G33" s="46"/>
      <c r="H33" s="46"/>
      <c r="I33" s="46"/>
      <c r="J33" s="46"/>
      <c r="K33" s="46"/>
      <c r="L33" s="146" t="s">
        <v>418</v>
      </c>
      <c r="M33" s="46"/>
    </row>
    <row r="34" spans="2:13" ht="15" customHeight="1" x14ac:dyDescent="0.2">
      <c r="D34" s="46" t="s">
        <v>822</v>
      </c>
      <c r="E34" s="46"/>
      <c r="F34" s="46"/>
      <c r="G34" s="46"/>
      <c r="H34" s="46"/>
      <c r="I34" s="46"/>
      <c r="J34" s="46"/>
      <c r="K34" s="46"/>
      <c r="L34" s="146" t="s">
        <v>419</v>
      </c>
      <c r="M34" s="46"/>
    </row>
    <row r="35" spans="2:13" ht="15" customHeight="1" x14ac:dyDescent="0.2">
      <c r="D35" s="105" t="s">
        <v>827</v>
      </c>
      <c r="E35" s="105"/>
      <c r="F35" s="105"/>
      <c r="G35" s="105"/>
      <c r="H35" s="105"/>
      <c r="I35" s="105"/>
      <c r="J35" s="105"/>
      <c r="K35" s="105"/>
      <c r="L35" s="151" t="s">
        <v>420</v>
      </c>
      <c r="M35" s="105"/>
    </row>
    <row r="36" spans="2:13" ht="15" customHeight="1" x14ac:dyDescent="0.2"/>
    <row r="37" spans="2:13" ht="15" customHeight="1" x14ac:dyDescent="0.25">
      <c r="D37" s="152" t="s">
        <v>538</v>
      </c>
      <c r="E37" s="152"/>
      <c r="F37" s="47"/>
      <c r="G37" s="47"/>
      <c r="H37" s="47"/>
      <c r="I37" s="46"/>
      <c r="J37" s="46"/>
      <c r="K37" s="46"/>
      <c r="L37" s="153"/>
      <c r="M37" s="153"/>
    </row>
    <row r="38" spans="2:13" ht="15" customHeight="1" x14ac:dyDescent="0.2">
      <c r="D38" s="752" t="s">
        <v>539</v>
      </c>
      <c r="E38" s="752"/>
      <c r="F38" s="254" t="s">
        <v>930</v>
      </c>
      <c r="G38" s="254" t="s">
        <v>933</v>
      </c>
      <c r="H38" s="254" t="s">
        <v>931</v>
      </c>
      <c r="I38" s="254" t="s">
        <v>929</v>
      </c>
      <c r="J38" s="254" t="s">
        <v>932</v>
      </c>
      <c r="K38" s="254" t="s">
        <v>540</v>
      </c>
      <c r="L38" s="154"/>
    </row>
    <row r="39" spans="2:13" ht="15" customHeight="1" x14ac:dyDescent="0.2">
      <c r="D39" s="750" t="s">
        <v>541</v>
      </c>
      <c r="E39" s="750"/>
      <c r="F39" s="252">
        <v>7</v>
      </c>
      <c r="G39" s="155">
        <v>2.5</v>
      </c>
      <c r="H39" s="155">
        <v>1</v>
      </c>
      <c r="I39" s="155">
        <v>5</v>
      </c>
      <c r="J39" s="155">
        <v>10</v>
      </c>
      <c r="K39" s="155">
        <v>0.1</v>
      </c>
      <c r="L39" s="154"/>
    </row>
    <row r="40" spans="2:13" ht="15" customHeight="1" x14ac:dyDescent="0.2">
      <c r="D40" s="750" t="s">
        <v>542</v>
      </c>
      <c r="E40" s="750"/>
      <c r="F40" s="155">
        <v>6</v>
      </c>
      <c r="G40" s="155">
        <v>2.5</v>
      </c>
      <c r="H40" s="155">
        <v>0.8</v>
      </c>
      <c r="I40" s="155">
        <v>6</v>
      </c>
      <c r="J40" s="155">
        <v>3</v>
      </c>
      <c r="K40" s="155">
        <v>0.1</v>
      </c>
      <c r="L40" s="154"/>
    </row>
    <row r="41" spans="2:13" ht="15" customHeight="1" x14ac:dyDescent="0.2">
      <c r="D41" s="750" t="s">
        <v>543</v>
      </c>
      <c r="E41" s="750"/>
      <c r="F41" s="155">
        <v>7</v>
      </c>
      <c r="G41" s="155">
        <v>2</v>
      </c>
      <c r="H41" s="155">
        <v>1</v>
      </c>
      <c r="I41" s="155">
        <v>4</v>
      </c>
      <c r="J41" s="155">
        <v>4</v>
      </c>
      <c r="K41" s="155">
        <v>0.1</v>
      </c>
      <c r="L41" s="154"/>
    </row>
    <row r="42" spans="2:13" ht="15" customHeight="1" x14ac:dyDescent="0.2">
      <c r="D42" s="750" t="s">
        <v>544</v>
      </c>
      <c r="E42" s="750"/>
      <c r="F42" s="155">
        <v>9</v>
      </c>
      <c r="G42" s="155">
        <v>2.5</v>
      </c>
      <c r="H42" s="155">
        <v>0.8</v>
      </c>
      <c r="I42" s="155">
        <v>3</v>
      </c>
      <c r="J42" s="155">
        <v>2</v>
      </c>
      <c r="K42" s="155">
        <v>0.1</v>
      </c>
      <c r="L42" s="154"/>
    </row>
    <row r="43" spans="2:13" ht="15" customHeight="1" x14ac:dyDescent="0.2">
      <c r="D43" s="750" t="s">
        <v>545</v>
      </c>
      <c r="E43" s="750"/>
      <c r="F43" s="155">
        <v>7</v>
      </c>
      <c r="G43" s="155">
        <v>1.8</v>
      </c>
      <c r="H43" s="155">
        <v>2</v>
      </c>
      <c r="I43" s="155">
        <v>2</v>
      </c>
      <c r="J43" s="252" t="s">
        <v>769</v>
      </c>
      <c r="K43" s="155">
        <v>0.1</v>
      </c>
      <c r="L43" s="154"/>
    </row>
    <row r="44" spans="2:13" ht="15" customHeight="1" x14ac:dyDescent="0.2">
      <c r="D44" s="750" t="s">
        <v>546</v>
      </c>
      <c r="E44" s="750"/>
      <c r="F44" s="155">
        <v>8</v>
      </c>
      <c r="G44" s="155">
        <v>1.5</v>
      </c>
      <c r="H44" s="155">
        <v>0.8</v>
      </c>
      <c r="I44" s="252" t="s">
        <v>769</v>
      </c>
      <c r="J44" s="252" t="s">
        <v>769</v>
      </c>
      <c r="K44" s="155">
        <v>0.1</v>
      </c>
      <c r="L44" s="154"/>
    </row>
    <row r="45" spans="2:13" ht="15" customHeight="1" x14ac:dyDescent="0.2">
      <c r="D45" s="751" t="s">
        <v>547</v>
      </c>
      <c r="E45" s="751"/>
      <c r="F45" s="156">
        <v>3.5</v>
      </c>
      <c r="G45" s="156">
        <v>2.8</v>
      </c>
      <c r="H45" s="156">
        <v>3.5</v>
      </c>
      <c r="I45" s="253" t="s">
        <v>769</v>
      </c>
      <c r="J45" s="253" t="s">
        <v>769</v>
      </c>
      <c r="K45" s="156">
        <v>0.4</v>
      </c>
      <c r="L45" s="154"/>
    </row>
    <row r="46" spans="2:13" ht="15" customHeight="1" x14ac:dyDescent="0.2">
      <c r="B46" s="27"/>
      <c r="C46" s="27"/>
      <c r="J46" s="27"/>
      <c r="K46" s="27"/>
      <c r="L46" s="27"/>
    </row>
    <row r="47" spans="2:13" ht="15" customHeight="1" x14ac:dyDescent="0.2">
      <c r="B47" s="27"/>
      <c r="C47" s="27"/>
      <c r="D47" s="157"/>
      <c r="E47" s="157"/>
      <c r="F47" s="157"/>
    </row>
    <row r="48" spans="2:13" ht="15" customHeight="1" x14ac:dyDescent="0.25">
      <c r="B48" s="27"/>
      <c r="C48" s="27"/>
      <c r="D48" s="158" t="s">
        <v>214</v>
      </c>
      <c r="E48" s="158"/>
      <c r="F48" s="159"/>
      <c r="G48" s="159"/>
      <c r="H48" s="159"/>
      <c r="I48" s="159"/>
      <c r="J48" s="147"/>
      <c r="K48" s="160" t="s">
        <v>1772</v>
      </c>
    </row>
    <row r="49" spans="4:11" ht="15" customHeight="1" x14ac:dyDescent="0.25">
      <c r="D49" s="161"/>
      <c r="E49" s="161"/>
      <c r="F49" s="105"/>
      <c r="G49" s="105"/>
      <c r="H49" s="105"/>
      <c r="I49" s="149" t="s">
        <v>385</v>
      </c>
      <c r="J49" s="162" t="s">
        <v>1138</v>
      </c>
      <c r="K49" s="162" t="s">
        <v>1125</v>
      </c>
    </row>
    <row r="50" spans="4:11" ht="15" customHeight="1" x14ac:dyDescent="0.2">
      <c r="D50" s="46" t="s">
        <v>215</v>
      </c>
      <c r="E50" s="46"/>
      <c r="F50" s="46"/>
      <c r="G50" s="46"/>
      <c r="I50" s="146">
        <v>1.5</v>
      </c>
      <c r="J50" s="146">
        <v>0.8</v>
      </c>
      <c r="K50" s="146">
        <v>1.2</v>
      </c>
    </row>
    <row r="51" spans="4:11" ht="15" customHeight="1" x14ac:dyDescent="0.2">
      <c r="D51" s="46" t="s">
        <v>1299</v>
      </c>
      <c r="E51" s="46"/>
      <c r="F51" s="46"/>
      <c r="G51" s="46"/>
      <c r="I51" s="146">
        <v>1.3</v>
      </c>
      <c r="J51" s="146">
        <v>0.4</v>
      </c>
      <c r="K51" s="146">
        <v>0.9</v>
      </c>
    </row>
    <row r="52" spans="4:11" ht="15" customHeight="1" x14ac:dyDescent="0.2">
      <c r="D52" s="46" t="s">
        <v>218</v>
      </c>
      <c r="E52" s="46"/>
      <c r="F52" s="46"/>
      <c r="G52" s="46"/>
      <c r="I52" s="146">
        <v>2.4</v>
      </c>
      <c r="J52" s="146">
        <v>1.3</v>
      </c>
      <c r="K52" s="146">
        <v>1.5</v>
      </c>
    </row>
    <row r="53" spans="4:11" ht="15" customHeight="1" x14ac:dyDescent="0.2">
      <c r="D53" s="46" t="s">
        <v>219</v>
      </c>
      <c r="E53" s="46"/>
      <c r="F53" s="46"/>
      <c r="G53" s="46"/>
      <c r="I53" s="146">
        <v>1.6</v>
      </c>
      <c r="J53" s="146">
        <v>1.1000000000000001</v>
      </c>
      <c r="K53" s="146">
        <v>1.1000000000000001</v>
      </c>
    </row>
    <row r="54" spans="4:11" ht="15" customHeight="1" x14ac:dyDescent="0.2">
      <c r="D54" s="46" t="s">
        <v>216</v>
      </c>
      <c r="E54" s="46"/>
      <c r="F54" s="46"/>
      <c r="G54" s="46"/>
      <c r="I54" s="146">
        <v>1.6</v>
      </c>
      <c r="J54" s="146">
        <v>0.1</v>
      </c>
      <c r="K54" s="146">
        <v>2.1</v>
      </c>
    </row>
    <row r="55" spans="4:11" ht="15" customHeight="1" x14ac:dyDescent="0.2">
      <c r="D55" s="46" t="s">
        <v>220</v>
      </c>
      <c r="E55" s="46"/>
      <c r="F55" s="46"/>
      <c r="G55" s="46"/>
      <c r="I55" s="146">
        <v>0.7</v>
      </c>
      <c r="J55" s="146">
        <v>0.2</v>
      </c>
      <c r="K55" s="146">
        <v>0.6</v>
      </c>
    </row>
    <row r="56" spans="4:11" ht="15" customHeight="1" x14ac:dyDescent="0.2">
      <c r="D56" s="46" t="s">
        <v>221</v>
      </c>
      <c r="E56" s="46"/>
      <c r="F56" s="46"/>
      <c r="G56" s="46"/>
      <c r="I56" s="146">
        <v>1.6</v>
      </c>
      <c r="J56" s="146">
        <v>0.3</v>
      </c>
      <c r="K56" s="146">
        <v>1.9</v>
      </c>
    </row>
    <row r="57" spans="4:11" ht="15" customHeight="1" x14ac:dyDescent="0.2">
      <c r="D57" s="46" t="s">
        <v>217</v>
      </c>
      <c r="E57" s="46"/>
      <c r="F57" s="46"/>
      <c r="G57" s="46"/>
      <c r="I57" s="146">
        <v>3.3</v>
      </c>
      <c r="J57" s="146">
        <v>0.6</v>
      </c>
      <c r="K57" s="146">
        <v>2.2000000000000002</v>
      </c>
    </row>
    <row r="58" spans="4:11" ht="15" customHeight="1" x14ac:dyDescent="0.2">
      <c r="D58" s="46" t="s">
        <v>222</v>
      </c>
      <c r="E58" s="46"/>
      <c r="F58" s="46"/>
      <c r="G58" s="46"/>
      <c r="I58" s="146">
        <v>0.6</v>
      </c>
      <c r="J58" s="146">
        <v>0.2</v>
      </c>
      <c r="K58" s="146">
        <v>0.3</v>
      </c>
    </row>
    <row r="59" spans="4:11" ht="15" customHeight="1" x14ac:dyDescent="0.2">
      <c r="D59" s="105" t="s">
        <v>223</v>
      </c>
      <c r="E59" s="105"/>
      <c r="F59" s="105"/>
      <c r="G59" s="105"/>
      <c r="H59" s="105"/>
      <c r="I59" s="151">
        <v>1.6</v>
      </c>
      <c r="J59" s="151">
        <v>0.8</v>
      </c>
      <c r="K59" s="151">
        <v>0.2</v>
      </c>
    </row>
    <row r="60" spans="4:11" ht="15" customHeight="1" x14ac:dyDescent="0.2"/>
    <row r="61" spans="4:11" ht="15" customHeight="1" x14ac:dyDescent="0.2"/>
  </sheetData>
  <sheetProtection algorithmName="SHA-512" hashValue="KWKS+LyT7wCRPvijP/0hCWluCHLxaBzJsDRJMXNKlVpFdZs0S2f0SAaxufI3ynYWmVcaSl00X9NqXwcsPr3Mwg==" saltValue="liM8/McrZTsqCXtqZaJyEg==" spinCount="100000" sheet="1" objects="1" scenarios="1"/>
  <mergeCells count="9">
    <mergeCell ref="G6:J6"/>
    <mergeCell ref="D42:E42"/>
    <mergeCell ref="D43:E43"/>
    <mergeCell ref="D44:E44"/>
    <mergeCell ref="D45:E45"/>
    <mergeCell ref="D38:E38"/>
    <mergeCell ref="D39:E39"/>
    <mergeCell ref="D40:E40"/>
    <mergeCell ref="D41:E41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8" fitToHeight="2" orientation="portrait" cellComments="atEnd" horizontalDpi="360" verticalDpi="36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1:P55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16" width="9.140625" style="163" customWidth="1"/>
    <col min="17" max="16384" width="9.140625" style="163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s="164" customFormat="1" ht="1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A6" s="49"/>
      <c r="C6" s="165"/>
      <c r="D6" s="165"/>
      <c r="E6" s="699" t="s">
        <v>1673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A7" s="49"/>
      <c r="B7" s="166"/>
      <c r="C7" s="166"/>
      <c r="D7" s="166"/>
      <c r="E7" s="166"/>
      <c r="F7" s="166"/>
      <c r="G7" s="166"/>
      <c r="H7" s="166"/>
      <c r="I7" s="166"/>
      <c r="J7" s="49"/>
      <c r="K7" s="49"/>
    </row>
    <row r="8" spans="1:16" ht="15" customHeight="1" x14ac:dyDescent="0.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6" ht="15" customHeight="1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6" ht="1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6" ht="15" customHeight="1" x14ac:dyDescent="0.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6" ht="15" customHeight="1" x14ac:dyDescent="0.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6" ht="15" customHeight="1" x14ac:dyDescent="0.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6" ht="15" customHeight="1" x14ac:dyDescent="0.2">
      <c r="A14" s="49"/>
      <c r="C14" s="49" t="s">
        <v>758</v>
      </c>
      <c r="D14" s="49"/>
      <c r="E14" s="49"/>
      <c r="F14" s="49"/>
      <c r="G14" s="49"/>
      <c r="I14" s="49" t="s">
        <v>1666</v>
      </c>
      <c r="J14" s="49"/>
      <c r="K14" s="49"/>
    </row>
    <row r="15" spans="1:16" ht="15" customHeight="1" x14ac:dyDescent="0.2">
      <c r="A15" s="49"/>
      <c r="C15" s="49"/>
      <c r="D15" s="49"/>
      <c r="E15" s="49"/>
      <c r="F15" s="49"/>
      <c r="G15" s="49"/>
      <c r="I15" s="49"/>
      <c r="J15" s="49"/>
      <c r="K15" s="49"/>
    </row>
    <row r="16" spans="1:16" ht="15" customHeight="1" x14ac:dyDescent="0.2">
      <c r="A16" s="49"/>
      <c r="C16" s="49" t="s">
        <v>1662</v>
      </c>
      <c r="D16" s="49"/>
      <c r="E16" s="49"/>
      <c r="F16" s="49"/>
      <c r="G16" s="49"/>
      <c r="I16" s="49" t="s">
        <v>1667</v>
      </c>
      <c r="J16" s="49"/>
      <c r="K16" s="49"/>
    </row>
    <row r="17" spans="1:13" ht="15" customHeight="1" x14ac:dyDescent="0.2">
      <c r="A17" s="49"/>
      <c r="C17" s="49"/>
      <c r="D17" s="49"/>
      <c r="E17" s="49"/>
      <c r="F17" s="49"/>
      <c r="G17" s="49"/>
      <c r="I17" s="49"/>
      <c r="J17" s="49"/>
      <c r="K17" s="49"/>
    </row>
    <row r="18" spans="1:13" ht="15" customHeight="1" x14ac:dyDescent="0.3">
      <c r="A18" s="49"/>
      <c r="C18" s="49" t="s">
        <v>1663</v>
      </c>
      <c r="D18" s="49"/>
      <c r="E18" s="49"/>
      <c r="F18" s="49"/>
      <c r="G18" s="49"/>
      <c r="I18" s="49" t="s">
        <v>1668</v>
      </c>
      <c r="J18" s="49"/>
      <c r="K18" s="49"/>
    </row>
    <row r="19" spans="1:13" ht="15" customHeight="1" x14ac:dyDescent="0.2">
      <c r="A19" s="49"/>
      <c r="C19" s="49"/>
      <c r="D19" s="49"/>
      <c r="E19" s="49"/>
      <c r="F19" s="49"/>
      <c r="G19" s="49"/>
      <c r="I19" s="49"/>
      <c r="J19" s="49"/>
      <c r="K19" s="49"/>
    </row>
    <row r="20" spans="1:13" ht="15" customHeight="1" x14ac:dyDescent="0.3">
      <c r="A20" s="49"/>
      <c r="C20" s="49" t="s">
        <v>1664</v>
      </c>
      <c r="D20" s="49"/>
      <c r="E20" s="49"/>
      <c r="F20" s="49"/>
      <c r="G20" s="49"/>
      <c r="I20" s="49" t="s">
        <v>1669</v>
      </c>
    </row>
    <row r="21" spans="1:13" ht="15" customHeight="1" x14ac:dyDescent="0.2">
      <c r="A21" s="49"/>
      <c r="C21" s="49"/>
      <c r="D21" s="49"/>
      <c r="E21" s="49"/>
      <c r="F21" s="49"/>
      <c r="G21" s="49"/>
      <c r="H21" s="49"/>
    </row>
    <row r="22" spans="1:13" ht="15" customHeight="1" x14ac:dyDescent="0.2">
      <c r="A22" s="49"/>
      <c r="C22" s="49" t="s">
        <v>1665</v>
      </c>
      <c r="D22" s="49"/>
      <c r="E22" s="49"/>
      <c r="F22" s="49"/>
      <c r="G22" s="49"/>
      <c r="H22" s="49"/>
    </row>
    <row r="23" spans="1:13" ht="15" customHeight="1" x14ac:dyDescent="0.2">
      <c r="A23" s="49"/>
      <c r="C23" s="49"/>
      <c r="D23" s="49"/>
      <c r="E23" s="49"/>
      <c r="F23" s="49"/>
      <c r="G23" s="49"/>
      <c r="H23" s="49"/>
    </row>
    <row r="24" spans="1:13" ht="15" customHeight="1" x14ac:dyDescent="0.2">
      <c r="A24" s="49"/>
      <c r="D24" s="49"/>
      <c r="E24" s="49"/>
      <c r="F24" s="49"/>
      <c r="G24" s="49"/>
      <c r="H24" s="49"/>
    </row>
    <row r="25" spans="1:13" ht="15" customHeight="1" x14ac:dyDescent="0.2">
      <c r="A25" s="49"/>
      <c r="C25" s="167" t="s">
        <v>1301</v>
      </c>
      <c r="D25" s="167"/>
      <c r="E25" s="167"/>
      <c r="F25" s="167"/>
      <c r="G25" s="167"/>
      <c r="H25" s="167"/>
      <c r="I25" s="167"/>
      <c r="J25" s="167"/>
      <c r="K25" s="167"/>
      <c r="L25" s="167"/>
      <c r="M25" s="167"/>
    </row>
    <row r="26" spans="1:13" ht="15" customHeight="1" x14ac:dyDescent="0.2">
      <c r="A26" s="49"/>
      <c r="C26" s="255" t="s">
        <v>770</v>
      </c>
      <c r="D26" s="754" t="s">
        <v>771</v>
      </c>
      <c r="E26" s="754"/>
      <c r="F26" s="255" t="s">
        <v>1814</v>
      </c>
      <c r="G26" s="255" t="s">
        <v>493</v>
      </c>
      <c r="H26" s="255" t="s">
        <v>779</v>
      </c>
      <c r="I26" s="753" t="s">
        <v>504</v>
      </c>
      <c r="J26" s="754"/>
      <c r="K26" s="754" t="s">
        <v>506</v>
      </c>
      <c r="L26" s="754"/>
      <c r="M26" s="754"/>
    </row>
    <row r="27" spans="1:13" ht="15" customHeight="1" x14ac:dyDescent="0.2">
      <c r="A27" s="49"/>
      <c r="C27" s="256" t="s">
        <v>768</v>
      </c>
      <c r="D27" s="755" t="s">
        <v>1815</v>
      </c>
      <c r="E27" s="755"/>
      <c r="F27" s="256" t="s">
        <v>775</v>
      </c>
      <c r="G27" s="256" t="s">
        <v>494</v>
      </c>
      <c r="H27" s="256" t="s">
        <v>780</v>
      </c>
      <c r="I27" s="755" t="s">
        <v>497</v>
      </c>
      <c r="J27" s="755"/>
      <c r="K27" s="755" t="s">
        <v>1807</v>
      </c>
      <c r="L27" s="755"/>
      <c r="M27" s="755"/>
    </row>
    <row r="28" spans="1:13" ht="15" customHeight="1" x14ac:dyDescent="0.2">
      <c r="A28" s="49"/>
      <c r="C28" s="256" t="s">
        <v>767</v>
      </c>
      <c r="D28" s="755" t="s">
        <v>763</v>
      </c>
      <c r="E28" s="755"/>
      <c r="F28" s="256" t="s">
        <v>774</v>
      </c>
      <c r="G28" s="256" t="s">
        <v>629</v>
      </c>
      <c r="H28" s="256" t="s">
        <v>781</v>
      </c>
      <c r="I28" s="755" t="s">
        <v>498</v>
      </c>
      <c r="J28" s="755"/>
      <c r="K28" s="755" t="s">
        <v>1808</v>
      </c>
      <c r="L28" s="755"/>
      <c r="M28" s="755"/>
    </row>
    <row r="29" spans="1:13" ht="15" customHeight="1" x14ac:dyDescent="0.2">
      <c r="A29" s="49"/>
      <c r="C29" s="256" t="s">
        <v>766</v>
      </c>
      <c r="D29" s="755" t="s">
        <v>762</v>
      </c>
      <c r="E29" s="755"/>
      <c r="F29" s="256" t="s">
        <v>773</v>
      </c>
      <c r="G29" s="256" t="s">
        <v>630</v>
      </c>
      <c r="H29" s="256" t="s">
        <v>782</v>
      </c>
      <c r="I29" s="755" t="s">
        <v>499</v>
      </c>
      <c r="J29" s="755"/>
      <c r="K29" s="755" t="s">
        <v>1809</v>
      </c>
      <c r="L29" s="755"/>
      <c r="M29" s="755"/>
    </row>
    <row r="30" spans="1:13" ht="15" customHeight="1" x14ac:dyDescent="0.2">
      <c r="A30" s="49"/>
      <c r="C30" s="257" t="s">
        <v>769</v>
      </c>
      <c r="D30" s="756" t="s">
        <v>505</v>
      </c>
      <c r="E30" s="756"/>
      <c r="F30" s="257" t="s">
        <v>772</v>
      </c>
      <c r="G30" s="257" t="s">
        <v>631</v>
      </c>
      <c r="H30" s="257" t="s">
        <v>337</v>
      </c>
      <c r="I30" s="756" t="s">
        <v>500</v>
      </c>
      <c r="J30" s="756"/>
      <c r="K30" s="756" t="s">
        <v>1810</v>
      </c>
      <c r="L30" s="756"/>
      <c r="M30" s="756"/>
    </row>
    <row r="31" spans="1:13" ht="15" customHeight="1" x14ac:dyDescent="0.2">
      <c r="A31" s="49"/>
      <c r="B31" s="49"/>
      <c r="C31" s="256" t="s">
        <v>764</v>
      </c>
      <c r="D31" s="755" t="s">
        <v>759</v>
      </c>
      <c r="E31" s="755"/>
      <c r="F31" s="256" t="s">
        <v>776</v>
      </c>
      <c r="G31" s="256" t="s">
        <v>632</v>
      </c>
      <c r="H31" s="256" t="s">
        <v>783</v>
      </c>
      <c r="I31" s="755" t="s">
        <v>501</v>
      </c>
      <c r="J31" s="755"/>
      <c r="K31" s="755" t="s">
        <v>1811</v>
      </c>
      <c r="L31" s="755"/>
      <c r="M31" s="755"/>
    </row>
    <row r="32" spans="1:13" ht="15" customHeight="1" x14ac:dyDescent="0.2">
      <c r="A32" s="49"/>
      <c r="C32" s="256" t="s">
        <v>765</v>
      </c>
      <c r="D32" s="755" t="s">
        <v>760</v>
      </c>
      <c r="E32" s="755"/>
      <c r="F32" s="256" t="s">
        <v>777</v>
      </c>
      <c r="G32" s="256" t="s">
        <v>633</v>
      </c>
      <c r="H32" s="256" t="s">
        <v>495</v>
      </c>
      <c r="I32" s="755" t="s">
        <v>502</v>
      </c>
      <c r="J32" s="755"/>
      <c r="K32" s="755" t="s">
        <v>1812</v>
      </c>
      <c r="L32" s="755"/>
      <c r="M32" s="755"/>
    </row>
    <row r="33" spans="1:13" ht="15" customHeight="1" x14ac:dyDescent="0.2">
      <c r="A33" s="49"/>
      <c r="C33" s="258" t="s">
        <v>337</v>
      </c>
      <c r="D33" s="757" t="s">
        <v>761</v>
      </c>
      <c r="E33" s="757"/>
      <c r="F33" s="258" t="s">
        <v>778</v>
      </c>
      <c r="G33" s="258" t="s">
        <v>634</v>
      </c>
      <c r="H33" s="258" t="s">
        <v>496</v>
      </c>
      <c r="I33" s="757" t="s">
        <v>503</v>
      </c>
      <c r="J33" s="757"/>
      <c r="K33" s="757" t="s">
        <v>1813</v>
      </c>
      <c r="L33" s="757"/>
      <c r="M33" s="757"/>
    </row>
    <row r="34" spans="1:13" ht="15" customHeight="1" x14ac:dyDescent="0.2">
      <c r="A34" s="49"/>
      <c r="K34" s="49"/>
    </row>
    <row r="35" spans="1:13" ht="15" customHeight="1" x14ac:dyDescent="0.2">
      <c r="A35" s="49"/>
      <c r="K35" s="49"/>
    </row>
    <row r="36" spans="1:13" ht="15" customHeight="1" x14ac:dyDescent="0.2">
      <c r="A36" s="49"/>
      <c r="C36" s="167" t="s">
        <v>490</v>
      </c>
      <c r="D36" s="168"/>
      <c r="E36" s="168"/>
      <c r="K36" s="49"/>
    </row>
    <row r="37" spans="1:13" s="164" customFormat="1" ht="15" customHeight="1" x14ac:dyDescent="0.25">
      <c r="A37" s="169"/>
      <c r="C37" s="170"/>
      <c r="K37" s="169"/>
    </row>
    <row r="38" spans="1:13" ht="15" customHeight="1" x14ac:dyDescent="0.3">
      <c r="A38" s="49"/>
      <c r="C38" s="170" t="s">
        <v>1670</v>
      </c>
      <c r="K38" s="49"/>
    </row>
    <row r="39" spans="1:13" ht="15" customHeight="1" x14ac:dyDescent="0.2">
      <c r="A39" s="49"/>
      <c r="C39" s="170"/>
      <c r="K39" s="49"/>
    </row>
    <row r="40" spans="1:13" ht="15" customHeight="1" x14ac:dyDescent="0.3">
      <c r="A40" s="49"/>
      <c r="C40" s="170" t="s">
        <v>1671</v>
      </c>
      <c r="K40" s="49"/>
    </row>
    <row r="41" spans="1:13" ht="15" customHeight="1" x14ac:dyDescent="0.2">
      <c r="A41" s="49"/>
      <c r="B41" s="49"/>
      <c r="C41" s="170"/>
      <c r="D41" s="49"/>
      <c r="E41" s="49"/>
      <c r="F41" s="49"/>
      <c r="G41" s="49"/>
      <c r="H41" s="49"/>
      <c r="I41" s="49"/>
      <c r="J41" s="49"/>
      <c r="K41" s="49"/>
    </row>
    <row r="42" spans="1:13" ht="15" customHeight="1" x14ac:dyDescent="0.2">
      <c r="A42" s="49"/>
      <c r="B42" s="171"/>
      <c r="C42" s="170" t="s">
        <v>491</v>
      </c>
      <c r="D42" s="49"/>
      <c r="E42" s="49"/>
      <c r="F42" s="49"/>
      <c r="G42" s="49"/>
      <c r="H42" s="49"/>
      <c r="I42" s="49"/>
      <c r="J42" s="170"/>
      <c r="K42" s="49"/>
    </row>
    <row r="43" spans="1:13" s="172" customFormat="1" ht="15" customHeight="1" x14ac:dyDescent="0.2">
      <c r="A43" s="170"/>
      <c r="C43" s="170"/>
      <c r="D43" s="173"/>
      <c r="E43" s="170"/>
      <c r="F43" s="170"/>
      <c r="G43" s="170"/>
      <c r="H43" s="170"/>
      <c r="I43" s="170"/>
      <c r="J43" s="170"/>
      <c r="K43" s="170"/>
    </row>
    <row r="44" spans="1:13" s="172" customFormat="1" ht="15" customHeight="1" x14ac:dyDescent="0.2">
      <c r="A44" s="170"/>
      <c r="C44" s="170" t="s">
        <v>492</v>
      </c>
      <c r="D44" s="170"/>
      <c r="E44" s="170"/>
      <c r="F44" s="170"/>
      <c r="G44" s="170"/>
      <c r="H44" s="170"/>
      <c r="I44" s="170"/>
      <c r="J44" s="170"/>
      <c r="K44" s="170"/>
    </row>
    <row r="45" spans="1:13" s="172" customFormat="1" ht="15" customHeight="1" x14ac:dyDescent="0.2">
      <c r="A45" s="170"/>
      <c r="C45" s="170"/>
      <c r="D45" s="170"/>
      <c r="E45" s="170"/>
      <c r="F45" s="170"/>
      <c r="G45" s="170"/>
      <c r="H45" s="170"/>
      <c r="I45" s="170"/>
      <c r="J45" s="170"/>
      <c r="K45" s="170"/>
    </row>
    <row r="46" spans="1:13" s="172" customFormat="1" ht="15" customHeight="1" x14ac:dyDescent="0.3">
      <c r="A46" s="170"/>
      <c r="C46" s="170" t="s">
        <v>1672</v>
      </c>
      <c r="D46" s="170"/>
      <c r="E46" s="170"/>
      <c r="F46" s="170"/>
      <c r="G46" s="170"/>
      <c r="H46" s="170"/>
      <c r="I46" s="170"/>
      <c r="J46" s="170"/>
      <c r="K46" s="170"/>
    </row>
    <row r="47" spans="1:13" s="172" customFormat="1" ht="15" customHeight="1" x14ac:dyDescent="0.2">
      <c r="A47" s="170"/>
      <c r="C47" s="170"/>
      <c r="D47" s="170"/>
      <c r="E47" s="170"/>
      <c r="F47" s="170"/>
      <c r="G47" s="170"/>
      <c r="H47" s="170"/>
      <c r="I47" s="170"/>
      <c r="J47" s="170"/>
      <c r="K47" s="170"/>
    </row>
    <row r="48" spans="1:13" s="172" customFormat="1" ht="15" customHeight="1" x14ac:dyDescent="0.2">
      <c r="A48" s="170"/>
      <c r="C48" s="170"/>
      <c r="D48" s="170"/>
      <c r="E48" s="170"/>
      <c r="F48" s="170"/>
      <c r="G48" s="170"/>
      <c r="H48" s="170"/>
      <c r="I48" s="170"/>
      <c r="J48" s="170"/>
      <c r="K48" s="170"/>
    </row>
    <row r="49" spans="1:11" s="172" customFormat="1" ht="15" hidden="1" customHeight="1" x14ac:dyDescent="0.2">
      <c r="A49" s="170"/>
      <c r="C49" s="170"/>
      <c r="D49" s="170"/>
      <c r="E49" s="170"/>
      <c r="F49" s="170"/>
      <c r="G49" s="170"/>
      <c r="H49" s="170"/>
      <c r="I49" s="170"/>
      <c r="J49" s="170"/>
      <c r="K49" s="170"/>
    </row>
    <row r="50" spans="1:11" s="172" customFormat="1" ht="15" hidden="1" customHeight="1" x14ac:dyDescent="0.2">
      <c r="A50" s="170"/>
      <c r="C50" s="170"/>
      <c r="D50" s="170"/>
      <c r="E50" s="170"/>
      <c r="F50" s="170"/>
      <c r="G50" s="170"/>
      <c r="H50" s="170"/>
      <c r="I50" s="170"/>
      <c r="J50" s="170"/>
      <c r="K50" s="170"/>
    </row>
    <row r="51" spans="1:11" s="172" customFormat="1" ht="15" hidden="1" customHeight="1" x14ac:dyDescent="0.2">
      <c r="A51" s="170"/>
      <c r="C51" s="170"/>
      <c r="D51" s="170"/>
      <c r="E51" s="170"/>
      <c r="F51" s="170"/>
      <c r="G51" s="170"/>
      <c r="H51" s="170"/>
      <c r="I51" s="170"/>
      <c r="J51" s="170"/>
      <c r="K51" s="170"/>
    </row>
    <row r="52" spans="1:11" s="172" customFormat="1" ht="15" hidden="1" customHeight="1" x14ac:dyDescent="0.2">
      <c r="A52" s="170"/>
      <c r="C52" s="170"/>
      <c r="D52" s="170"/>
      <c r="E52" s="170"/>
      <c r="F52" s="170"/>
      <c r="G52" s="170"/>
      <c r="H52" s="170"/>
      <c r="I52" s="170"/>
      <c r="J52" s="170"/>
      <c r="K52" s="170"/>
    </row>
    <row r="53" spans="1:11" s="172" customFormat="1" ht="15" hidden="1" customHeight="1" x14ac:dyDescent="0.2">
      <c r="A53" s="170"/>
      <c r="C53" s="170"/>
      <c r="D53" s="170"/>
      <c r="E53" s="170"/>
      <c r="F53" s="170"/>
      <c r="G53" s="170"/>
      <c r="H53" s="170"/>
      <c r="I53" s="170"/>
      <c r="J53" s="49"/>
      <c r="K53" s="170"/>
    </row>
    <row r="54" spans="1:11" ht="15" hidden="1" customHeight="1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1" ht="15" hidden="1" customHeight="1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</row>
  </sheetData>
  <sheetProtection algorithmName="SHA-512" hashValue="HzEAQSGDCD/4wHeboDW73tikyB7yXlRPwImOiB5lKKcMkOkTotyYDoXUPVSOuuQnxT0RbAVcJ1OyIaARGWuBAQ==" saltValue="zQzQ7KXO4hGkNsMpRePj/w==" spinCount="100000" sheet="1" objects="1" scenarios="1"/>
  <mergeCells count="25">
    <mergeCell ref="K30:M30"/>
    <mergeCell ref="K31:M31"/>
    <mergeCell ref="K32:M32"/>
    <mergeCell ref="K33:M33"/>
    <mergeCell ref="D26:E26"/>
    <mergeCell ref="D27:E27"/>
    <mergeCell ref="D28:E28"/>
    <mergeCell ref="D29:E29"/>
    <mergeCell ref="D30:E30"/>
    <mergeCell ref="I31:J31"/>
    <mergeCell ref="I32:J32"/>
    <mergeCell ref="I33:J33"/>
    <mergeCell ref="I30:J30"/>
    <mergeCell ref="D31:E31"/>
    <mergeCell ref="D32:E32"/>
    <mergeCell ref="D33:E33"/>
    <mergeCell ref="E6:L6"/>
    <mergeCell ref="I26:J26"/>
    <mergeCell ref="I27:J27"/>
    <mergeCell ref="I28:J28"/>
    <mergeCell ref="I29:J29"/>
    <mergeCell ref="K26:M26"/>
    <mergeCell ref="K27:M27"/>
    <mergeCell ref="K28:M28"/>
    <mergeCell ref="K29:M2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360" verticalDpi="360" r:id="rId1"/>
  <headerFooter alignWithMargins="0">
    <oddHeader xml:space="preserve">&amp;C
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R58"/>
  <sheetViews>
    <sheetView showGridLines="0" showRowColHeaders="0" zoomScaleNormal="100" zoomScaleSheetLayoutView="100" workbookViewId="0">
      <selection activeCell="E15" sqref="E15"/>
    </sheetView>
  </sheetViews>
  <sheetFormatPr defaultColWidth="0" defaultRowHeight="15" customHeight="1" zeroHeight="1" x14ac:dyDescent="0.2"/>
  <cols>
    <col min="1" max="3" width="9.140625" style="266" customWidth="1"/>
    <col min="4" max="14" width="9.140625" style="265" customWidth="1"/>
    <col min="15" max="16" width="9.140625" style="266" customWidth="1"/>
    <col min="17" max="16384" width="9.140625" style="266" hidden="1"/>
  </cols>
  <sheetData>
    <row r="1" spans="1:18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8" ht="24.95" customHeight="1" x14ac:dyDescent="0.2">
      <c r="C6" s="699" t="s">
        <v>1816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8" ht="15" customHeight="1" x14ac:dyDescent="0.2"/>
    <row r="8" spans="1:18" s="34" customFormat="1" ht="15" customHeight="1" x14ac:dyDescent="0.25"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Q8" s="78"/>
      <c r="R8" s="78"/>
    </row>
    <row r="9" spans="1:18" ht="15" customHeight="1" x14ac:dyDescent="0.2"/>
    <row r="10" spans="1:18" ht="15" customHeight="1" x14ac:dyDescent="0.2"/>
    <row r="11" spans="1:18" ht="15" customHeight="1" x14ac:dyDescent="0.2"/>
    <row r="12" spans="1:18" s="354" customFormat="1" ht="20.100000000000001" customHeight="1" x14ac:dyDescent="0.2">
      <c r="B12" s="763" t="s">
        <v>383</v>
      </c>
      <c r="C12" s="763"/>
      <c r="D12" s="763"/>
      <c r="E12" s="743" t="s">
        <v>384</v>
      </c>
      <c r="F12" s="743"/>
      <c r="G12" s="743"/>
      <c r="H12" s="259" t="s">
        <v>382</v>
      </c>
      <c r="I12" s="763" t="s">
        <v>389</v>
      </c>
      <c r="J12" s="763"/>
      <c r="K12" s="361"/>
    </row>
    <row r="13" spans="1:18" s="354" customFormat="1" ht="20.100000000000001" customHeight="1" x14ac:dyDescent="0.2">
      <c r="B13" s="409"/>
      <c r="C13" s="410"/>
      <c r="D13" s="411"/>
      <c r="E13" s="412" t="s">
        <v>385</v>
      </c>
      <c r="F13" s="412" t="s">
        <v>678</v>
      </c>
      <c r="G13" s="412" t="s">
        <v>757</v>
      </c>
      <c r="H13" s="413" t="s">
        <v>388</v>
      </c>
      <c r="I13" s="764" t="s">
        <v>676</v>
      </c>
      <c r="J13" s="764"/>
      <c r="K13" s="361"/>
      <c r="L13" s="414" t="s">
        <v>387</v>
      </c>
      <c r="M13" s="415"/>
      <c r="N13" s="415"/>
      <c r="O13" s="416"/>
    </row>
    <row r="14" spans="1:18" s="354" customFormat="1" ht="20.100000000000001" customHeight="1" x14ac:dyDescent="0.2">
      <c r="B14" s="417"/>
      <c r="C14" s="370"/>
      <c r="E14" s="185"/>
      <c r="F14" s="185"/>
      <c r="G14" s="185"/>
      <c r="H14" s="185"/>
      <c r="I14" s="185"/>
      <c r="J14" s="185"/>
      <c r="K14" s="361"/>
      <c r="L14" s="185"/>
      <c r="M14" s="185"/>
      <c r="N14" s="185"/>
      <c r="O14" s="370"/>
    </row>
    <row r="15" spans="1:18" s="354" customFormat="1" ht="20.100000000000001" customHeight="1" x14ac:dyDescent="0.2">
      <c r="B15" s="370" t="s">
        <v>386</v>
      </c>
      <c r="C15" s="370"/>
      <c r="E15" s="3">
        <v>25</v>
      </c>
      <c r="F15" s="3">
        <v>5</v>
      </c>
      <c r="G15" s="3">
        <v>20</v>
      </c>
      <c r="H15" s="4">
        <v>75</v>
      </c>
      <c r="I15" s="758">
        <f>H15/((E15*0.5)+(F15*0.5)+(G15*0.5))</f>
        <v>3</v>
      </c>
      <c r="J15" s="759"/>
      <c r="K15" s="361"/>
      <c r="L15" s="418"/>
      <c r="M15" s="419" t="s">
        <v>1817</v>
      </c>
      <c r="N15" s="420">
        <f>H15/((E15*0.5)+(F15*0.5)+(G15*0.5))</f>
        <v>3</v>
      </c>
      <c r="O15" s="421" t="s">
        <v>677</v>
      </c>
    </row>
    <row r="16" spans="1:18" s="354" customFormat="1" ht="20.100000000000001" customHeight="1" x14ac:dyDescent="0.2">
      <c r="B16" s="370"/>
      <c r="C16" s="370"/>
      <c r="E16" s="185"/>
      <c r="F16" s="185"/>
      <c r="G16" s="185"/>
      <c r="H16" s="185" t="s">
        <v>390</v>
      </c>
      <c r="I16" s="185"/>
      <c r="J16" s="185"/>
      <c r="K16" s="361"/>
      <c r="L16" s="185"/>
      <c r="M16" s="185"/>
      <c r="N16" s="185"/>
      <c r="O16" s="370"/>
    </row>
    <row r="17" spans="2:17" s="354" customFormat="1" ht="20.100000000000001" customHeight="1" x14ac:dyDescent="0.2">
      <c r="B17" s="721" t="s">
        <v>810</v>
      </c>
      <c r="C17" s="721"/>
      <c r="D17" s="721"/>
      <c r="E17" s="185">
        <f>VLOOKUP(B17,C25:G32,5,FALSE)</f>
        <v>20</v>
      </c>
      <c r="F17" s="185"/>
      <c r="G17" s="185"/>
      <c r="H17" s="3">
        <v>50</v>
      </c>
      <c r="I17" s="758">
        <f>H17/(E17*0.5)</f>
        <v>5</v>
      </c>
      <c r="J17" s="759"/>
      <c r="L17" s="422"/>
      <c r="M17" s="423" t="s">
        <v>1818</v>
      </c>
      <c r="N17" s="424">
        <f>(((E15*0.5)*I17)+((F15*0.5)*I19)+((G15*0.5)*I21))/((E15+F15+G15)*0.5)</f>
        <v>3.8777777777777782</v>
      </c>
      <c r="O17" s="425" t="s">
        <v>677</v>
      </c>
    </row>
    <row r="18" spans="2:17" s="354" customFormat="1" ht="20.100000000000001" customHeight="1" x14ac:dyDescent="0.2">
      <c r="B18" s="370"/>
      <c r="C18" s="370"/>
      <c r="E18" s="185"/>
      <c r="F18" s="185"/>
      <c r="G18" s="185"/>
      <c r="H18" s="185"/>
      <c r="I18" s="185"/>
      <c r="J18" s="185"/>
      <c r="K18" s="361"/>
    </row>
    <row r="19" spans="2:17" s="354" customFormat="1" ht="20.100000000000001" customHeight="1" x14ac:dyDescent="0.2">
      <c r="B19" s="721" t="s">
        <v>816</v>
      </c>
      <c r="C19" s="721"/>
      <c r="D19" s="721"/>
      <c r="E19" s="185"/>
      <c r="F19" s="185">
        <f>VLOOKUP(B19,J25:N33,5,FALSE)</f>
        <v>18</v>
      </c>
      <c r="G19" s="185"/>
      <c r="H19" s="4">
        <v>40</v>
      </c>
      <c r="I19" s="758">
        <f>H19/(F19*0.5)</f>
        <v>4.4444444444444446</v>
      </c>
      <c r="J19" s="759"/>
      <c r="K19" s="361"/>
    </row>
    <row r="20" spans="2:17" s="354" customFormat="1" ht="20.100000000000001" customHeight="1" x14ac:dyDescent="0.2">
      <c r="B20" s="370"/>
      <c r="C20" s="370"/>
      <c r="E20" s="185"/>
      <c r="F20" s="185"/>
      <c r="G20" s="185"/>
      <c r="H20" s="185"/>
      <c r="I20" s="185"/>
      <c r="J20" s="185"/>
      <c r="K20" s="361"/>
      <c r="L20" s="361"/>
      <c r="N20" s="361"/>
    </row>
    <row r="21" spans="2:17" s="354" customFormat="1" ht="20.100000000000001" customHeight="1" x14ac:dyDescent="0.2">
      <c r="B21" s="762" t="s">
        <v>860</v>
      </c>
      <c r="C21" s="762"/>
      <c r="D21" s="762"/>
      <c r="E21" s="261"/>
      <c r="F21" s="261"/>
      <c r="G21" s="261">
        <f>VLOOKUP(B21,C36:G38,5,FALSE)</f>
        <v>60</v>
      </c>
      <c r="H21" s="4">
        <v>70</v>
      </c>
      <c r="I21" s="760">
        <f>H21/(G21*0.5)</f>
        <v>2.3333333333333335</v>
      </c>
      <c r="J21" s="761"/>
      <c r="K21" s="361"/>
      <c r="L21" s="361"/>
      <c r="M21" s="361"/>
      <c r="N21" s="361"/>
    </row>
    <row r="22" spans="2:17" ht="15" customHeight="1" x14ac:dyDescent="0.2"/>
    <row r="23" spans="2:17" ht="15" customHeight="1" x14ac:dyDescent="0.2">
      <c r="C23" s="169" t="s">
        <v>809</v>
      </c>
      <c r="D23" s="169"/>
      <c r="E23" s="257"/>
      <c r="F23" s="257"/>
      <c r="G23" s="257"/>
      <c r="H23" s="257"/>
      <c r="I23" s="257"/>
      <c r="O23" s="265"/>
    </row>
    <row r="24" spans="2:17" ht="15" customHeight="1" x14ac:dyDescent="0.2">
      <c r="C24" s="426" t="s">
        <v>857</v>
      </c>
      <c r="D24" s="426"/>
      <c r="E24" s="427"/>
      <c r="F24" s="427"/>
      <c r="G24" s="427" t="s">
        <v>828</v>
      </c>
      <c r="J24" s="426" t="s">
        <v>858</v>
      </c>
      <c r="K24" s="426"/>
      <c r="L24" s="427"/>
      <c r="M24" s="427"/>
      <c r="N24" s="427" t="s">
        <v>829</v>
      </c>
      <c r="O24" s="265"/>
    </row>
    <row r="25" spans="2:17" ht="15" customHeight="1" x14ac:dyDescent="0.2">
      <c r="C25" s="49" t="s">
        <v>810</v>
      </c>
      <c r="D25" s="266"/>
      <c r="G25" s="265">
        <v>20</v>
      </c>
      <c r="J25" s="266" t="s">
        <v>816</v>
      </c>
      <c r="K25" s="266"/>
      <c r="N25" s="265">
        <v>18</v>
      </c>
      <c r="O25" s="265"/>
      <c r="Q25" s="42"/>
    </row>
    <row r="26" spans="2:17" ht="15" customHeight="1" x14ac:dyDescent="0.2">
      <c r="C26" s="49" t="s">
        <v>1617</v>
      </c>
      <c r="D26" s="266"/>
      <c r="G26" s="265">
        <v>44</v>
      </c>
      <c r="J26" s="266" t="s">
        <v>817</v>
      </c>
      <c r="K26" s="266"/>
      <c r="N26" s="265">
        <v>40</v>
      </c>
      <c r="O26" s="265"/>
    </row>
    <row r="27" spans="2:17" ht="15" customHeight="1" x14ac:dyDescent="0.2">
      <c r="C27" s="266" t="s">
        <v>812</v>
      </c>
      <c r="D27" s="266"/>
      <c r="G27" s="265">
        <v>15</v>
      </c>
      <c r="J27" s="49" t="s">
        <v>1676</v>
      </c>
      <c r="K27" s="266"/>
      <c r="N27" s="265">
        <v>28</v>
      </c>
      <c r="O27" s="265"/>
    </row>
    <row r="28" spans="2:17" ht="15" customHeight="1" x14ac:dyDescent="0.2">
      <c r="C28" s="266" t="s">
        <v>813</v>
      </c>
      <c r="D28" s="266"/>
      <c r="G28" s="265">
        <v>14</v>
      </c>
      <c r="J28" s="266" t="s">
        <v>818</v>
      </c>
      <c r="K28" s="266"/>
      <c r="N28" s="265">
        <v>48</v>
      </c>
      <c r="O28" s="265"/>
    </row>
    <row r="29" spans="2:17" ht="15" customHeight="1" x14ac:dyDescent="0.2">
      <c r="C29" s="266" t="s">
        <v>814</v>
      </c>
      <c r="D29" s="266"/>
      <c r="G29" s="265">
        <v>32</v>
      </c>
      <c r="J29" s="266" t="s">
        <v>819</v>
      </c>
      <c r="K29" s="266"/>
      <c r="N29" s="265">
        <v>45</v>
      </c>
      <c r="O29" s="265"/>
    </row>
    <row r="30" spans="2:17" ht="15" customHeight="1" x14ac:dyDescent="0.2">
      <c r="C30" s="266" t="s">
        <v>815</v>
      </c>
      <c r="D30" s="266"/>
      <c r="G30" s="265">
        <v>25</v>
      </c>
      <c r="J30" s="266" t="s">
        <v>853</v>
      </c>
      <c r="K30" s="266"/>
      <c r="N30" s="265">
        <v>14</v>
      </c>
      <c r="O30" s="265"/>
    </row>
    <row r="31" spans="2:17" ht="15" customHeight="1" x14ac:dyDescent="0.2">
      <c r="C31" s="266" t="s">
        <v>818</v>
      </c>
      <c r="D31" s="266"/>
      <c r="G31" s="265">
        <v>9</v>
      </c>
      <c r="J31" s="266" t="s">
        <v>854</v>
      </c>
      <c r="K31" s="266"/>
      <c r="N31" s="265">
        <v>4</v>
      </c>
      <c r="O31" s="265"/>
    </row>
    <row r="32" spans="2:17" ht="15" customHeight="1" x14ac:dyDescent="0.2">
      <c r="C32" s="157" t="s">
        <v>819</v>
      </c>
      <c r="D32" s="157"/>
      <c r="E32" s="343"/>
      <c r="F32" s="343"/>
      <c r="G32" s="343">
        <v>16</v>
      </c>
      <c r="J32" s="266" t="s">
        <v>855</v>
      </c>
      <c r="K32" s="266"/>
      <c r="N32" s="265">
        <v>18</v>
      </c>
      <c r="O32" s="265"/>
    </row>
    <row r="33" spans="3:15" ht="15" customHeight="1" x14ac:dyDescent="0.2">
      <c r="D33" s="266"/>
      <c r="J33" s="157" t="s">
        <v>856</v>
      </c>
      <c r="K33" s="157"/>
      <c r="L33" s="343"/>
      <c r="M33" s="343"/>
      <c r="N33" s="343">
        <v>12</v>
      </c>
      <c r="O33" s="265"/>
    </row>
    <row r="34" spans="3:15" ht="15" customHeight="1" x14ac:dyDescent="0.2">
      <c r="D34" s="266"/>
      <c r="O34" s="265"/>
    </row>
    <row r="35" spans="3:15" ht="15" customHeight="1" x14ac:dyDescent="0.2">
      <c r="C35" s="426" t="s">
        <v>859</v>
      </c>
      <c r="D35" s="426"/>
      <c r="E35" s="427"/>
      <c r="F35" s="427"/>
      <c r="G35" s="427" t="s">
        <v>830</v>
      </c>
      <c r="J35" s="426" t="s">
        <v>863</v>
      </c>
      <c r="K35" s="426"/>
      <c r="L35" s="427"/>
      <c r="M35" s="427"/>
      <c r="N35" s="427" t="s">
        <v>831</v>
      </c>
      <c r="O35" s="265"/>
    </row>
    <row r="36" spans="3:15" ht="15" customHeight="1" x14ac:dyDescent="0.2">
      <c r="C36" s="49" t="s">
        <v>860</v>
      </c>
      <c r="D36" s="266"/>
      <c r="G36" s="265">
        <v>60</v>
      </c>
      <c r="J36" s="266" t="s">
        <v>864</v>
      </c>
      <c r="K36" s="266"/>
      <c r="N36" s="265">
        <v>24</v>
      </c>
      <c r="O36" s="265"/>
    </row>
    <row r="37" spans="3:15" ht="15" customHeight="1" x14ac:dyDescent="0.2">
      <c r="C37" s="266" t="s">
        <v>861</v>
      </c>
      <c r="D37" s="266"/>
      <c r="G37" s="265">
        <v>48</v>
      </c>
      <c r="J37" s="157" t="s">
        <v>872</v>
      </c>
      <c r="K37" s="157"/>
      <c r="L37" s="343"/>
      <c r="M37" s="343"/>
      <c r="N37" s="343">
        <v>16</v>
      </c>
      <c r="O37" s="265"/>
    </row>
    <row r="38" spans="3:15" ht="15" customHeight="1" x14ac:dyDescent="0.2">
      <c r="C38" s="157" t="s">
        <v>862</v>
      </c>
      <c r="D38" s="157"/>
      <c r="E38" s="343"/>
      <c r="F38" s="343"/>
      <c r="G38" s="343">
        <v>44</v>
      </c>
      <c r="O38" s="265"/>
    </row>
    <row r="39" spans="3:15" ht="15" customHeight="1" x14ac:dyDescent="0.2">
      <c r="D39" s="266"/>
      <c r="O39" s="265"/>
    </row>
    <row r="40" spans="3:15" ht="15" customHeight="1" x14ac:dyDescent="0.2">
      <c r="C40" s="426" t="s">
        <v>865</v>
      </c>
      <c r="D40" s="426"/>
      <c r="E40" s="427"/>
      <c r="F40" s="427"/>
      <c r="G40" s="427" t="s">
        <v>784</v>
      </c>
      <c r="J40" s="426" t="s">
        <v>870</v>
      </c>
      <c r="K40" s="426"/>
      <c r="L40" s="427"/>
      <c r="M40" s="427"/>
      <c r="N40" s="427" t="s">
        <v>785</v>
      </c>
      <c r="O40" s="265"/>
    </row>
    <row r="41" spans="3:15" ht="15" customHeight="1" x14ac:dyDescent="0.2">
      <c r="C41" s="266" t="s">
        <v>868</v>
      </c>
      <c r="D41" s="266"/>
      <c r="G41" s="265">
        <v>9</v>
      </c>
      <c r="J41" s="266" t="s">
        <v>871</v>
      </c>
      <c r="K41" s="266"/>
      <c r="N41" s="265">
        <v>95</v>
      </c>
      <c r="O41" s="265"/>
    </row>
    <row r="42" spans="3:15" ht="15" customHeight="1" x14ac:dyDescent="0.2">
      <c r="C42" s="266" t="s">
        <v>866</v>
      </c>
      <c r="D42" s="266"/>
      <c r="G42" s="265">
        <v>27</v>
      </c>
      <c r="J42" s="266" t="s">
        <v>872</v>
      </c>
      <c r="K42" s="266"/>
      <c r="N42" s="265">
        <v>13</v>
      </c>
      <c r="O42" s="265"/>
    </row>
    <row r="43" spans="3:15" ht="15" customHeight="1" x14ac:dyDescent="0.2">
      <c r="C43" s="266" t="s">
        <v>867</v>
      </c>
      <c r="D43" s="266"/>
      <c r="G43" s="265">
        <v>55</v>
      </c>
      <c r="J43" s="266" t="s">
        <v>868</v>
      </c>
      <c r="K43" s="266"/>
      <c r="N43" s="265">
        <v>12</v>
      </c>
      <c r="O43" s="265"/>
    </row>
    <row r="44" spans="3:15" ht="15" customHeight="1" x14ac:dyDescent="0.2">
      <c r="C44" s="157" t="s">
        <v>869</v>
      </c>
      <c r="D44" s="157"/>
      <c r="E44" s="343"/>
      <c r="F44" s="343"/>
      <c r="G44" s="343">
        <v>16</v>
      </c>
      <c r="J44" s="157" t="s">
        <v>869</v>
      </c>
      <c r="K44" s="157"/>
      <c r="L44" s="343"/>
      <c r="M44" s="343"/>
      <c r="N44" s="343">
        <v>21</v>
      </c>
      <c r="O44" s="265"/>
    </row>
    <row r="45" spans="3:15" ht="15" customHeight="1" x14ac:dyDescent="0.2">
      <c r="D45" s="266"/>
      <c r="O45" s="265"/>
    </row>
    <row r="46" spans="3:15" ht="15" customHeight="1" x14ac:dyDescent="0.2">
      <c r="C46" s="426" t="s">
        <v>877</v>
      </c>
      <c r="D46" s="426"/>
      <c r="E46" s="427"/>
      <c r="F46" s="427"/>
      <c r="G46" s="427" t="s">
        <v>786</v>
      </c>
      <c r="J46" s="426" t="s">
        <v>873</v>
      </c>
      <c r="K46" s="426"/>
      <c r="L46" s="427"/>
      <c r="M46" s="427"/>
      <c r="N46" s="427" t="s">
        <v>787</v>
      </c>
      <c r="O46" s="265"/>
    </row>
    <row r="47" spans="3:15" ht="15" customHeight="1" x14ac:dyDescent="0.2">
      <c r="C47" s="266" t="s">
        <v>878</v>
      </c>
      <c r="D47" s="266"/>
      <c r="G47" s="265">
        <v>20</v>
      </c>
      <c r="J47" s="266" t="s">
        <v>874</v>
      </c>
      <c r="K47" s="266"/>
      <c r="N47" s="265">
        <v>11</v>
      </c>
      <c r="O47" s="265"/>
    </row>
    <row r="48" spans="3:15" ht="15" customHeight="1" x14ac:dyDescent="0.2">
      <c r="C48" s="266" t="s">
        <v>879</v>
      </c>
      <c r="D48" s="266"/>
      <c r="G48" s="265">
        <v>50</v>
      </c>
      <c r="J48" s="266" t="s">
        <v>875</v>
      </c>
      <c r="K48" s="266"/>
      <c r="N48" s="265">
        <v>17</v>
      </c>
      <c r="O48" s="265"/>
    </row>
    <row r="49" spans="2:15" ht="15" customHeight="1" x14ac:dyDescent="0.2">
      <c r="C49" s="266" t="s">
        <v>880</v>
      </c>
      <c r="D49" s="266"/>
      <c r="G49" s="265">
        <v>40</v>
      </c>
      <c r="J49" s="157" t="s">
        <v>876</v>
      </c>
      <c r="K49" s="157"/>
      <c r="L49" s="343"/>
      <c r="M49" s="343"/>
      <c r="N49" s="343">
        <v>1</v>
      </c>
      <c r="O49" s="265"/>
    </row>
    <row r="50" spans="2:15" ht="15" customHeight="1" x14ac:dyDescent="0.2">
      <c r="C50" s="266" t="s">
        <v>881</v>
      </c>
      <c r="D50" s="266"/>
      <c r="G50" s="265">
        <v>18</v>
      </c>
      <c r="J50" s="266"/>
      <c r="K50" s="266"/>
      <c r="O50" s="265"/>
    </row>
    <row r="51" spans="2:15" ht="15" customHeight="1" x14ac:dyDescent="0.2">
      <c r="B51" s="27"/>
      <c r="C51" s="157" t="s">
        <v>876</v>
      </c>
      <c r="D51" s="157"/>
      <c r="E51" s="343"/>
      <c r="F51" s="343"/>
      <c r="G51" s="343">
        <v>3</v>
      </c>
      <c r="J51" s="266"/>
      <c r="K51" s="266"/>
      <c r="O51" s="265"/>
    </row>
    <row r="52" spans="2:15" ht="15" customHeight="1" x14ac:dyDescent="0.2">
      <c r="D52" s="266"/>
      <c r="O52" s="265"/>
    </row>
    <row r="53" spans="2:15" ht="15" customHeight="1" x14ac:dyDescent="0.2">
      <c r="C53" s="426" t="s">
        <v>882</v>
      </c>
      <c r="D53" s="426"/>
      <c r="E53" s="427"/>
      <c r="F53" s="427"/>
      <c r="G53" s="427" t="s">
        <v>788</v>
      </c>
      <c r="J53" s="426" t="s">
        <v>821</v>
      </c>
      <c r="K53" s="426"/>
      <c r="L53" s="427"/>
      <c r="M53" s="427"/>
      <c r="N53" s="427" t="s">
        <v>789</v>
      </c>
      <c r="O53" s="265"/>
    </row>
    <row r="54" spans="2:15" ht="15" customHeight="1" x14ac:dyDescent="0.2">
      <c r="C54" s="27" t="s">
        <v>883</v>
      </c>
      <c r="D54" s="27"/>
      <c r="E54" s="263"/>
      <c r="F54" s="263"/>
      <c r="G54" s="263">
        <v>13</v>
      </c>
      <c r="J54" s="266" t="s">
        <v>822</v>
      </c>
      <c r="K54" s="266"/>
      <c r="N54" s="265">
        <v>54</v>
      </c>
      <c r="O54" s="265"/>
    </row>
    <row r="55" spans="2:15" ht="15" customHeight="1" x14ac:dyDescent="0.2">
      <c r="C55" s="27" t="s">
        <v>884</v>
      </c>
      <c r="D55" s="27"/>
      <c r="E55" s="263"/>
      <c r="F55" s="263"/>
      <c r="G55" s="263">
        <v>16</v>
      </c>
      <c r="J55" s="266" t="s">
        <v>827</v>
      </c>
      <c r="K55" s="266"/>
      <c r="N55" s="265">
        <v>39</v>
      </c>
      <c r="O55" s="265"/>
    </row>
    <row r="56" spans="2:15" ht="15" customHeight="1" x14ac:dyDescent="0.2">
      <c r="C56" s="27" t="s">
        <v>885</v>
      </c>
      <c r="D56" s="27"/>
      <c r="E56" s="263"/>
      <c r="F56" s="263"/>
      <c r="G56" s="263">
        <v>75</v>
      </c>
      <c r="J56" s="426" t="s">
        <v>876</v>
      </c>
      <c r="K56" s="426"/>
      <c r="L56" s="427"/>
      <c r="M56" s="427"/>
      <c r="N56" s="427">
        <v>0.1</v>
      </c>
      <c r="O56" s="265"/>
    </row>
    <row r="57" spans="2:15" ht="15" customHeight="1" x14ac:dyDescent="0.2">
      <c r="C57" s="426" t="s">
        <v>876</v>
      </c>
      <c r="D57" s="426"/>
      <c r="E57" s="427"/>
      <c r="F57" s="427"/>
      <c r="G57" s="427">
        <v>1</v>
      </c>
      <c r="O57" s="265"/>
    </row>
    <row r="58" spans="2:15" ht="15" customHeight="1" x14ac:dyDescent="0.2"/>
  </sheetData>
  <sheetProtection algorithmName="SHA-512" hashValue="DesnjIA2etPVI1XbBKPsBXtA8IHPT5HPoH0HqgTdRM73wI/7N/N6m4BhGdAvtOK7+pBYpwUNpL09aNrHx+wbjQ==" saltValue="r+JIhFA4GmOPuK5Xhu5HBg==" spinCount="100000" sheet="1" objects="1" scenarios="1" selectLockedCells="1"/>
  <mergeCells count="12">
    <mergeCell ref="C6:N6"/>
    <mergeCell ref="I19:J19"/>
    <mergeCell ref="I21:J21"/>
    <mergeCell ref="B19:D19"/>
    <mergeCell ref="B21:D21"/>
    <mergeCell ref="B12:D12"/>
    <mergeCell ref="E12:G12"/>
    <mergeCell ref="B17:D17"/>
    <mergeCell ref="I12:J12"/>
    <mergeCell ref="I13:J13"/>
    <mergeCell ref="I15:J15"/>
    <mergeCell ref="I17:J17"/>
  </mergeCells>
  <phoneticPr fontId="0" type="noConversion"/>
  <dataValidations count="3">
    <dataValidation type="list" allowBlank="1" showInputMessage="1" showErrorMessage="1" sqref="B17">
      <formula1>$C$25:$C$32</formula1>
    </dataValidation>
    <dataValidation type="list" allowBlank="1" showInputMessage="1" showErrorMessage="1" sqref="B19:D19">
      <formula1>$J$25:$J$33</formula1>
    </dataValidation>
    <dataValidation type="list" allowBlank="1" showInputMessage="1" showErrorMessage="1" sqref="B21:D21">
      <formula1>$C$36:$C$38</formula1>
    </dataValidation>
  </dataValidations>
  <pageMargins left="0.78740157480314965" right="0.78740157480314965" top="0.78740157480314965" bottom="0.78740157480314965" header="0.51181102362204722" footer="0.51181102362204722"/>
  <pageSetup scale="70" fitToHeight="2" orientation="portrait" horizontalDpi="360" verticalDpi="36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P108"/>
  <sheetViews>
    <sheetView showGridLines="0" showRowColHeaders="0" showRuler="0" zoomScaleNormal="100" zoomScaleSheetLayoutView="100" workbookViewId="0">
      <selection activeCell="H1" sqref="H1"/>
    </sheetView>
  </sheetViews>
  <sheetFormatPr defaultColWidth="0" defaultRowHeight="20.100000000000001" customHeight="1" zeroHeight="1" x14ac:dyDescent="0.2"/>
  <cols>
    <col min="1" max="16" width="9.140625" style="27" customWidth="1"/>
    <col min="17" max="16384" width="9.140625" style="266" hidden="1"/>
  </cols>
  <sheetData>
    <row r="1" spans="1:16" ht="24.95" customHeight="1" x14ac:dyDescent="0.2">
      <c r="A1" s="26"/>
    </row>
    <row r="2" spans="1:16" ht="24.95" customHeight="1" x14ac:dyDescent="0.2"/>
    <row r="3" spans="1:16" ht="24.95" customHeight="1" x14ac:dyDescent="0.2"/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178" customFormat="1" ht="20.100000000000001" customHeight="1" x14ac:dyDescent="0.2">
      <c r="A6" s="174"/>
      <c r="B6" s="175"/>
      <c r="C6" s="176"/>
      <c r="D6" s="688" t="s">
        <v>1802</v>
      </c>
      <c r="E6" s="688"/>
      <c r="F6" s="688"/>
      <c r="G6" s="688"/>
      <c r="H6" s="688"/>
      <c r="I6" s="688"/>
      <c r="J6" s="688"/>
      <c r="K6" s="688"/>
      <c r="L6" s="688"/>
      <c r="M6" s="177"/>
      <c r="N6" s="177"/>
      <c r="O6" s="174"/>
      <c r="P6" s="174"/>
    </row>
    <row r="7" spans="1:16" s="76" customFormat="1" ht="20.100000000000001" customHeight="1" x14ac:dyDescent="0.2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16" s="180" customFormat="1" ht="20.100000000000001" customHeight="1" x14ac:dyDescent="0.2">
      <c r="A8" s="179"/>
      <c r="B8" s="179"/>
      <c r="H8" s="181" t="s">
        <v>934</v>
      </c>
      <c r="I8" s="181"/>
      <c r="O8" s="179"/>
      <c r="P8" s="179"/>
    </row>
    <row r="9" spans="1:16" s="76" customFormat="1" ht="20.100000000000001" customHeight="1" x14ac:dyDescent="0.2">
      <c r="A9" s="86"/>
      <c r="B9" s="82"/>
      <c r="C9" s="82"/>
      <c r="D9" s="182" t="s">
        <v>385</v>
      </c>
      <c r="E9" s="182" t="s">
        <v>1138</v>
      </c>
      <c r="F9" s="182" t="s">
        <v>1125</v>
      </c>
      <c r="G9" s="182" t="s">
        <v>1124</v>
      </c>
      <c r="H9" s="182" t="s">
        <v>1123</v>
      </c>
      <c r="I9" s="182" t="s">
        <v>292</v>
      </c>
      <c r="J9" s="182" t="s">
        <v>929</v>
      </c>
      <c r="K9" s="182" t="s">
        <v>930</v>
      </c>
      <c r="L9" s="182" t="s">
        <v>931</v>
      </c>
      <c r="M9" s="182" t="s">
        <v>932</v>
      </c>
      <c r="N9" s="182" t="s">
        <v>933</v>
      </c>
      <c r="O9" s="86"/>
      <c r="P9" s="86"/>
    </row>
    <row r="10" spans="1:16" s="56" customFormat="1" ht="20.100000000000001" customHeight="1" x14ac:dyDescent="0.2">
      <c r="A10" s="183"/>
      <c r="B10" s="184"/>
      <c r="C10" s="184"/>
      <c r="D10" s="768" t="s">
        <v>1803</v>
      </c>
      <c r="E10" s="769"/>
      <c r="F10" s="769"/>
      <c r="G10" s="769"/>
      <c r="H10" s="769"/>
      <c r="I10" s="769"/>
      <c r="J10" s="768" t="s">
        <v>1804</v>
      </c>
      <c r="K10" s="769"/>
      <c r="L10" s="769"/>
      <c r="M10" s="769"/>
      <c r="N10" s="769"/>
      <c r="O10" s="183"/>
      <c r="P10" s="183"/>
    </row>
    <row r="11" spans="1:16" s="76" customFormat="1" ht="20.100000000000001" customHeight="1" x14ac:dyDescent="0.2">
      <c r="A11" s="86"/>
      <c r="B11" s="767" t="s">
        <v>513</v>
      </c>
      <c r="C11" s="767"/>
      <c r="D11" s="185" t="s">
        <v>1193</v>
      </c>
      <c r="E11" s="185" t="s">
        <v>1194</v>
      </c>
      <c r="F11" s="185" t="s">
        <v>1195</v>
      </c>
      <c r="G11" s="185" t="s">
        <v>1196</v>
      </c>
      <c r="H11" s="185" t="s">
        <v>1197</v>
      </c>
      <c r="I11" s="185" t="s">
        <v>1198</v>
      </c>
      <c r="J11" s="185" t="s">
        <v>1199</v>
      </c>
      <c r="K11" s="185" t="s">
        <v>1200</v>
      </c>
      <c r="L11" s="186" t="s">
        <v>1201</v>
      </c>
      <c r="M11" s="185" t="s">
        <v>1202</v>
      </c>
      <c r="N11" s="185" t="s">
        <v>1203</v>
      </c>
      <c r="O11" s="86"/>
      <c r="P11" s="86"/>
    </row>
    <row r="12" spans="1:16" s="76" customFormat="1" ht="20.100000000000001" customHeight="1" x14ac:dyDescent="0.2">
      <c r="A12" s="86"/>
      <c r="B12" s="766" t="s">
        <v>514</v>
      </c>
      <c r="C12" s="766"/>
      <c r="D12" s="187">
        <v>2.7</v>
      </c>
      <c r="E12" s="187">
        <v>0.12</v>
      </c>
      <c r="F12" s="187">
        <v>2.1</v>
      </c>
      <c r="G12" s="187">
        <v>1.4</v>
      </c>
      <c r="H12" s="187">
        <v>0.32</v>
      </c>
      <c r="I12" s="187">
        <v>0.24</v>
      </c>
      <c r="J12" s="188">
        <v>131</v>
      </c>
      <c r="K12" s="188">
        <v>12</v>
      </c>
      <c r="L12" s="188">
        <v>11</v>
      </c>
      <c r="M12" s="188">
        <v>69</v>
      </c>
      <c r="N12" s="188">
        <v>48</v>
      </c>
      <c r="O12" s="86"/>
      <c r="P12" s="86"/>
    </row>
    <row r="13" spans="1:16" s="76" customFormat="1" ht="20.100000000000001" customHeight="1" x14ac:dyDescent="0.2">
      <c r="A13" s="86"/>
      <c r="B13" s="189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86"/>
      <c r="P13" s="86"/>
    </row>
    <row r="14" spans="1:16" s="193" customFormat="1" ht="20.100000000000001" customHeight="1" x14ac:dyDescent="0.2">
      <c r="A14" s="190"/>
      <c r="B14" s="191"/>
      <c r="C14" s="192"/>
      <c r="D14" s="192"/>
      <c r="E14" s="192"/>
      <c r="F14" s="192"/>
      <c r="G14" s="192"/>
      <c r="H14" s="181" t="s">
        <v>935</v>
      </c>
      <c r="J14" s="192"/>
      <c r="K14" s="192"/>
      <c r="L14" s="192"/>
      <c r="M14" s="192"/>
      <c r="N14" s="192"/>
      <c r="O14" s="190"/>
      <c r="P14" s="190"/>
    </row>
    <row r="15" spans="1:16" s="193" customFormat="1" ht="20.100000000000001" customHeight="1" x14ac:dyDescent="0.2">
      <c r="A15" s="190"/>
      <c r="B15" s="82"/>
      <c r="C15" s="82"/>
      <c r="D15" s="182" t="s">
        <v>385</v>
      </c>
      <c r="E15" s="182" t="s">
        <v>1138</v>
      </c>
      <c r="F15" s="182" t="s">
        <v>1125</v>
      </c>
      <c r="G15" s="182" t="s">
        <v>1124</v>
      </c>
      <c r="H15" s="182" t="s">
        <v>1123</v>
      </c>
      <c r="I15" s="182" t="s">
        <v>292</v>
      </c>
      <c r="J15" s="182" t="s">
        <v>929</v>
      </c>
      <c r="K15" s="182" t="s">
        <v>930</v>
      </c>
      <c r="L15" s="182" t="s">
        <v>931</v>
      </c>
      <c r="M15" s="182" t="s">
        <v>932</v>
      </c>
      <c r="N15" s="182" t="s">
        <v>933</v>
      </c>
      <c r="O15" s="190"/>
      <c r="P15" s="190"/>
    </row>
    <row r="16" spans="1:16" s="193" customFormat="1" ht="20.100000000000001" customHeight="1" x14ac:dyDescent="0.2">
      <c r="A16" s="190"/>
      <c r="B16" s="184"/>
      <c r="C16" s="184"/>
      <c r="D16" s="768" t="s">
        <v>1803</v>
      </c>
      <c r="E16" s="769"/>
      <c r="F16" s="769"/>
      <c r="G16" s="769"/>
      <c r="H16" s="769"/>
      <c r="I16" s="769"/>
      <c r="J16" s="768" t="s">
        <v>1804</v>
      </c>
      <c r="K16" s="769"/>
      <c r="L16" s="769"/>
      <c r="M16" s="769"/>
      <c r="N16" s="769"/>
      <c r="O16" s="190"/>
      <c r="P16" s="190"/>
    </row>
    <row r="17" spans="1:16" s="76" customFormat="1" ht="20.100000000000001" customHeight="1" x14ac:dyDescent="0.2">
      <c r="A17" s="86"/>
      <c r="B17" s="763" t="s">
        <v>375</v>
      </c>
      <c r="C17" s="763"/>
      <c r="D17" s="186" t="s">
        <v>679</v>
      </c>
      <c r="E17" s="186" t="s">
        <v>724</v>
      </c>
      <c r="F17" s="186" t="s">
        <v>755</v>
      </c>
      <c r="G17" s="186" t="s">
        <v>1072</v>
      </c>
      <c r="H17" s="186" t="s">
        <v>741</v>
      </c>
      <c r="I17" s="186" t="s">
        <v>728</v>
      </c>
      <c r="J17" s="186" t="s">
        <v>63</v>
      </c>
      <c r="K17" s="186" t="s">
        <v>66</v>
      </c>
      <c r="L17" s="186" t="s">
        <v>67</v>
      </c>
      <c r="M17" s="186" t="s">
        <v>68</v>
      </c>
      <c r="N17" s="186" t="s">
        <v>65</v>
      </c>
      <c r="O17" s="86"/>
      <c r="P17" s="86"/>
    </row>
    <row r="18" spans="1:16" s="76" customFormat="1" ht="20.100000000000001" customHeight="1" x14ac:dyDescent="0.2">
      <c r="A18" s="86"/>
      <c r="B18" s="765" t="s">
        <v>376</v>
      </c>
      <c r="C18" s="765"/>
      <c r="D18" s="194" t="s">
        <v>680</v>
      </c>
      <c r="E18" s="194" t="s">
        <v>725</v>
      </c>
      <c r="F18" s="194" t="s">
        <v>685</v>
      </c>
      <c r="G18" s="194" t="s">
        <v>1073</v>
      </c>
      <c r="H18" s="194" t="s">
        <v>751</v>
      </c>
      <c r="I18" s="194" t="s">
        <v>52</v>
      </c>
      <c r="J18" s="194" t="s">
        <v>64</v>
      </c>
      <c r="K18" s="194" t="s">
        <v>69</v>
      </c>
      <c r="L18" s="194" t="s">
        <v>67</v>
      </c>
      <c r="M18" s="194" t="s">
        <v>70</v>
      </c>
      <c r="N18" s="194" t="s">
        <v>71</v>
      </c>
      <c r="O18" s="86"/>
      <c r="P18" s="86"/>
    </row>
    <row r="19" spans="1:16" s="76" customFormat="1" ht="20.100000000000001" customHeight="1" x14ac:dyDescent="0.2">
      <c r="A19" s="86"/>
      <c r="B19" s="767" t="s">
        <v>393</v>
      </c>
      <c r="C19" s="767"/>
      <c r="D19" s="186" t="s">
        <v>681</v>
      </c>
      <c r="E19" s="186" t="s">
        <v>725</v>
      </c>
      <c r="F19" s="186" t="s">
        <v>755</v>
      </c>
      <c r="G19" s="186" t="s">
        <v>700</v>
      </c>
      <c r="H19" s="186" t="s">
        <v>1105</v>
      </c>
      <c r="I19" s="186" t="s">
        <v>732</v>
      </c>
      <c r="J19" s="186" t="s">
        <v>65</v>
      </c>
      <c r="K19" s="186" t="s">
        <v>72</v>
      </c>
      <c r="L19" s="186" t="s">
        <v>67</v>
      </c>
      <c r="M19" s="186" t="s">
        <v>73</v>
      </c>
      <c r="N19" s="186" t="s">
        <v>74</v>
      </c>
      <c r="O19" s="86"/>
      <c r="P19" s="86"/>
    </row>
    <row r="20" spans="1:16" s="76" customFormat="1" ht="20.100000000000001" customHeight="1" x14ac:dyDescent="0.2">
      <c r="A20" s="86"/>
      <c r="B20" s="765" t="s">
        <v>507</v>
      </c>
      <c r="C20" s="765"/>
      <c r="D20" s="194" t="s">
        <v>682</v>
      </c>
      <c r="E20" s="194" t="s">
        <v>726</v>
      </c>
      <c r="F20" s="194" t="s">
        <v>756</v>
      </c>
      <c r="G20" s="194" t="s">
        <v>1074</v>
      </c>
      <c r="H20" s="194" t="s">
        <v>743</v>
      </c>
      <c r="I20" s="194" t="s">
        <v>728</v>
      </c>
      <c r="J20" s="194" t="s">
        <v>75</v>
      </c>
      <c r="K20" s="194" t="s">
        <v>76</v>
      </c>
      <c r="L20" s="194" t="s">
        <v>77</v>
      </c>
      <c r="M20" s="194" t="s">
        <v>78</v>
      </c>
      <c r="N20" s="194" t="s">
        <v>79</v>
      </c>
      <c r="O20" s="86"/>
      <c r="P20" s="86"/>
    </row>
    <row r="21" spans="1:16" s="76" customFormat="1" ht="20.100000000000001" customHeight="1" x14ac:dyDescent="0.2">
      <c r="A21" s="86"/>
      <c r="B21" s="767" t="s">
        <v>936</v>
      </c>
      <c r="C21" s="767"/>
      <c r="D21" s="186" t="s">
        <v>683</v>
      </c>
      <c r="E21" s="186" t="s">
        <v>727</v>
      </c>
      <c r="F21" s="186" t="s">
        <v>1020</v>
      </c>
      <c r="G21" s="186" t="s">
        <v>1075</v>
      </c>
      <c r="H21" s="186" t="s">
        <v>735</v>
      </c>
      <c r="I21" s="186">
        <v>0.15</v>
      </c>
      <c r="J21" s="186" t="s">
        <v>80</v>
      </c>
      <c r="K21" s="186" t="s">
        <v>74</v>
      </c>
      <c r="L21" s="186" t="s">
        <v>81</v>
      </c>
      <c r="M21" s="186" t="s">
        <v>74</v>
      </c>
      <c r="N21" s="186" t="s">
        <v>82</v>
      </c>
      <c r="O21" s="86"/>
      <c r="P21" s="86"/>
    </row>
    <row r="22" spans="1:16" s="76" customFormat="1" ht="20.100000000000001" customHeight="1" x14ac:dyDescent="0.2">
      <c r="A22" s="86"/>
      <c r="B22" s="765" t="s">
        <v>519</v>
      </c>
      <c r="C22" s="765"/>
      <c r="D22" s="194">
        <v>1.8</v>
      </c>
      <c r="E22" s="194">
        <v>0.12</v>
      </c>
      <c r="F22" s="194">
        <v>0.8</v>
      </c>
      <c r="G22" s="194">
        <v>0.5</v>
      </c>
      <c r="H22" s="194">
        <v>0.24</v>
      </c>
      <c r="I22" s="194">
        <v>0.15</v>
      </c>
      <c r="J22" s="194" t="s">
        <v>83</v>
      </c>
      <c r="K22" s="194" t="s">
        <v>84</v>
      </c>
      <c r="L22" s="194" t="s">
        <v>85</v>
      </c>
      <c r="M22" s="194" t="s">
        <v>86</v>
      </c>
      <c r="N22" s="194" t="s">
        <v>87</v>
      </c>
      <c r="O22" s="86"/>
      <c r="P22" s="86"/>
    </row>
    <row r="23" spans="1:16" s="76" customFormat="1" ht="20.100000000000001" customHeight="1" x14ac:dyDescent="0.2">
      <c r="A23" s="86"/>
      <c r="B23" s="767" t="s">
        <v>522</v>
      </c>
      <c r="C23" s="767"/>
      <c r="D23" s="186" t="s">
        <v>684</v>
      </c>
      <c r="E23" s="186" t="s">
        <v>727</v>
      </c>
      <c r="F23" s="186" t="s">
        <v>1020</v>
      </c>
      <c r="G23" s="186" t="s">
        <v>1076</v>
      </c>
      <c r="H23" s="186" t="s">
        <v>1106</v>
      </c>
      <c r="J23" s="186" t="s">
        <v>88</v>
      </c>
      <c r="K23" s="186" t="s">
        <v>89</v>
      </c>
      <c r="L23" s="186" t="s">
        <v>90</v>
      </c>
      <c r="M23" s="186" t="s">
        <v>91</v>
      </c>
      <c r="N23" s="186" t="s">
        <v>1203</v>
      </c>
      <c r="O23" s="86"/>
      <c r="P23" s="86"/>
    </row>
    <row r="24" spans="1:16" s="76" customFormat="1" ht="20.100000000000001" customHeight="1" x14ac:dyDescent="0.2">
      <c r="A24" s="86"/>
      <c r="B24" s="765" t="s">
        <v>523</v>
      </c>
      <c r="C24" s="765"/>
      <c r="D24" s="194" t="s">
        <v>685</v>
      </c>
      <c r="E24" s="194" t="s">
        <v>728</v>
      </c>
      <c r="F24" s="194" t="s">
        <v>1021</v>
      </c>
      <c r="G24" s="194" t="s">
        <v>1066</v>
      </c>
      <c r="H24" s="194" t="s">
        <v>1107</v>
      </c>
      <c r="I24" s="194" t="s">
        <v>728</v>
      </c>
      <c r="J24" s="194" t="s">
        <v>64</v>
      </c>
      <c r="K24" s="194" t="s">
        <v>92</v>
      </c>
      <c r="L24" s="194" t="s">
        <v>93</v>
      </c>
      <c r="M24" s="194" t="s">
        <v>94</v>
      </c>
      <c r="N24" s="194" t="s">
        <v>95</v>
      </c>
      <c r="O24" s="86"/>
      <c r="P24" s="86"/>
    </row>
    <row r="25" spans="1:16" s="76" customFormat="1" ht="20.100000000000001" customHeight="1" x14ac:dyDescent="0.2">
      <c r="A25" s="86"/>
      <c r="B25" s="767" t="s">
        <v>1472</v>
      </c>
      <c r="C25" s="767"/>
      <c r="D25" s="195" t="s">
        <v>1473</v>
      </c>
      <c r="E25" s="195" t="s">
        <v>1474</v>
      </c>
      <c r="F25" s="195" t="s">
        <v>1475</v>
      </c>
      <c r="G25" s="195" t="s">
        <v>41</v>
      </c>
      <c r="H25" s="195" t="s">
        <v>735</v>
      </c>
      <c r="I25" s="195" t="s">
        <v>1063</v>
      </c>
      <c r="J25" s="195" t="s">
        <v>65</v>
      </c>
      <c r="K25" s="195" t="s">
        <v>1476</v>
      </c>
      <c r="L25" s="195" t="s">
        <v>79</v>
      </c>
      <c r="M25" s="195" t="s">
        <v>1211</v>
      </c>
      <c r="N25" s="195" t="s">
        <v>330</v>
      </c>
      <c r="O25" s="86"/>
      <c r="P25" s="86"/>
    </row>
    <row r="26" spans="1:16" s="76" customFormat="1" ht="20.100000000000001" customHeight="1" x14ac:dyDescent="0.2">
      <c r="A26" s="86"/>
      <c r="B26" s="765" t="s">
        <v>525</v>
      </c>
      <c r="C26" s="765"/>
      <c r="D26" s="194" t="s">
        <v>686</v>
      </c>
      <c r="E26" s="194">
        <v>0.16</v>
      </c>
      <c r="F26" s="194">
        <v>2.7</v>
      </c>
      <c r="G26" s="194">
        <v>1.72</v>
      </c>
      <c r="H26" s="194">
        <v>0.53</v>
      </c>
      <c r="I26" s="194">
        <v>0.3</v>
      </c>
      <c r="J26" s="194" t="s">
        <v>96</v>
      </c>
      <c r="K26" s="194" t="s">
        <v>97</v>
      </c>
      <c r="L26" s="194" t="s">
        <v>98</v>
      </c>
      <c r="M26" s="194" t="s">
        <v>99</v>
      </c>
      <c r="N26" s="194" t="s">
        <v>100</v>
      </c>
      <c r="O26" s="86"/>
      <c r="P26" s="86"/>
    </row>
    <row r="27" spans="1:16" s="76" customFormat="1" ht="20.100000000000001" customHeight="1" x14ac:dyDescent="0.2">
      <c r="A27" s="86"/>
      <c r="B27" s="767" t="s">
        <v>526</v>
      </c>
      <c r="C27" s="767"/>
      <c r="D27" s="186">
        <v>1.2</v>
      </c>
      <c r="E27" s="186">
        <v>0.2</v>
      </c>
      <c r="F27" s="186">
        <v>7</v>
      </c>
      <c r="G27" s="186">
        <v>2.5</v>
      </c>
      <c r="H27" s="186">
        <v>0.4</v>
      </c>
      <c r="I27" s="186">
        <v>0.3</v>
      </c>
      <c r="J27" s="186" t="s">
        <v>83</v>
      </c>
      <c r="K27" s="186" t="s">
        <v>101</v>
      </c>
      <c r="L27" s="186" t="s">
        <v>87</v>
      </c>
      <c r="M27" s="186" t="s">
        <v>102</v>
      </c>
      <c r="N27" s="186" t="s">
        <v>101</v>
      </c>
      <c r="O27" s="86"/>
      <c r="P27" s="86"/>
    </row>
    <row r="28" spans="1:16" s="76" customFormat="1" ht="20.100000000000001" customHeight="1" x14ac:dyDescent="0.2">
      <c r="A28" s="86"/>
      <c r="B28" s="765" t="s">
        <v>528</v>
      </c>
      <c r="C28" s="765"/>
      <c r="D28" s="194" t="s">
        <v>687</v>
      </c>
      <c r="E28" s="194" t="s">
        <v>729</v>
      </c>
      <c r="F28" s="194" t="s">
        <v>1022</v>
      </c>
      <c r="G28" s="194" t="s">
        <v>1077</v>
      </c>
      <c r="H28" s="194" t="s">
        <v>739</v>
      </c>
      <c r="I28" s="194" t="s">
        <v>751</v>
      </c>
      <c r="J28" s="194" t="s">
        <v>64</v>
      </c>
      <c r="K28" s="194" t="s">
        <v>103</v>
      </c>
      <c r="L28" s="194" t="s">
        <v>104</v>
      </c>
      <c r="M28" s="194" t="s">
        <v>1209</v>
      </c>
      <c r="N28" s="194" t="s">
        <v>1210</v>
      </c>
      <c r="O28" s="86"/>
      <c r="P28" s="86"/>
    </row>
    <row r="29" spans="1:16" s="76" customFormat="1" ht="20.100000000000001" customHeight="1" x14ac:dyDescent="0.2">
      <c r="A29" s="86"/>
      <c r="B29" s="767" t="s">
        <v>533</v>
      </c>
      <c r="C29" s="767"/>
      <c r="D29" s="186" t="s">
        <v>688</v>
      </c>
      <c r="E29" s="186" t="s">
        <v>730</v>
      </c>
      <c r="F29" s="186" t="s">
        <v>697</v>
      </c>
      <c r="G29" s="186" t="s">
        <v>1078</v>
      </c>
      <c r="H29" s="186" t="s">
        <v>740</v>
      </c>
      <c r="I29" s="186" t="s">
        <v>749</v>
      </c>
      <c r="J29" s="195" t="s">
        <v>1211</v>
      </c>
      <c r="K29" s="186" t="s">
        <v>76</v>
      </c>
      <c r="L29" s="186" t="s">
        <v>81</v>
      </c>
      <c r="M29" s="186" t="s">
        <v>1212</v>
      </c>
      <c r="N29" s="186" t="s">
        <v>1213</v>
      </c>
      <c r="O29" s="86"/>
      <c r="P29" s="86"/>
    </row>
    <row r="30" spans="1:16" s="76" customFormat="1" ht="20.100000000000001" customHeight="1" x14ac:dyDescent="0.2">
      <c r="A30" s="86"/>
      <c r="B30" s="766" t="s">
        <v>640</v>
      </c>
      <c r="C30" s="766"/>
      <c r="D30" s="196" t="s">
        <v>688</v>
      </c>
      <c r="E30" s="196" t="s">
        <v>731</v>
      </c>
      <c r="F30" s="196" t="s">
        <v>755</v>
      </c>
      <c r="G30" s="196" t="s">
        <v>1079</v>
      </c>
      <c r="H30" s="196" t="s">
        <v>1108</v>
      </c>
      <c r="I30" s="196" t="s">
        <v>53</v>
      </c>
      <c r="J30" s="196" t="s">
        <v>1214</v>
      </c>
      <c r="K30" s="196" t="s">
        <v>1215</v>
      </c>
      <c r="L30" s="196" t="s">
        <v>1216</v>
      </c>
      <c r="M30" s="196" t="s">
        <v>1217</v>
      </c>
      <c r="N30" s="196" t="s">
        <v>1218</v>
      </c>
      <c r="O30" s="86"/>
      <c r="P30" s="86"/>
    </row>
    <row r="31" spans="1:16" s="76" customFormat="1" ht="20.100000000000001" customHeight="1" x14ac:dyDescent="0.2">
      <c r="A31" s="86"/>
      <c r="B31" s="189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86"/>
      <c r="P31" s="86"/>
    </row>
    <row r="32" spans="1:16" s="56" customFormat="1" ht="20.100000000000001" customHeight="1" x14ac:dyDescent="0.2">
      <c r="A32" s="183"/>
      <c r="B32" s="197"/>
      <c r="C32" s="198"/>
      <c r="D32" s="198"/>
      <c r="E32" s="198"/>
      <c r="F32" s="198"/>
      <c r="G32" s="198"/>
      <c r="H32" s="181" t="s">
        <v>937</v>
      </c>
      <c r="J32" s="198"/>
      <c r="K32" s="198"/>
      <c r="L32" s="198"/>
      <c r="M32" s="198"/>
      <c r="N32" s="198"/>
      <c r="O32" s="183"/>
      <c r="P32" s="183"/>
    </row>
    <row r="33" spans="1:16" s="56" customFormat="1" ht="20.100000000000001" customHeight="1" x14ac:dyDescent="0.2">
      <c r="A33" s="183"/>
      <c r="B33" s="82"/>
      <c r="C33" s="82"/>
      <c r="D33" s="182" t="s">
        <v>385</v>
      </c>
      <c r="E33" s="182" t="s">
        <v>1138</v>
      </c>
      <c r="F33" s="182" t="s">
        <v>1125</v>
      </c>
      <c r="G33" s="182" t="s">
        <v>1124</v>
      </c>
      <c r="H33" s="182" t="s">
        <v>1123</v>
      </c>
      <c r="I33" s="182" t="s">
        <v>292</v>
      </c>
      <c r="J33" s="182" t="s">
        <v>929</v>
      </c>
      <c r="K33" s="182" t="s">
        <v>930</v>
      </c>
      <c r="L33" s="182" t="s">
        <v>931</v>
      </c>
      <c r="M33" s="182" t="s">
        <v>932</v>
      </c>
      <c r="N33" s="182" t="s">
        <v>933</v>
      </c>
      <c r="O33" s="183"/>
      <c r="P33" s="183"/>
    </row>
    <row r="34" spans="1:16" s="56" customFormat="1" ht="20.100000000000001" customHeight="1" x14ac:dyDescent="0.2">
      <c r="A34" s="183"/>
      <c r="B34" s="184"/>
      <c r="C34" s="184"/>
      <c r="D34" s="768" t="s">
        <v>1803</v>
      </c>
      <c r="E34" s="769"/>
      <c r="F34" s="769"/>
      <c r="G34" s="769"/>
      <c r="H34" s="769"/>
      <c r="I34" s="769"/>
      <c r="J34" s="768" t="s">
        <v>1804</v>
      </c>
      <c r="K34" s="769"/>
      <c r="L34" s="769"/>
      <c r="M34" s="769"/>
      <c r="N34" s="769"/>
      <c r="O34" s="183"/>
      <c r="P34" s="183"/>
    </row>
    <row r="35" spans="1:16" s="76" customFormat="1" ht="20.100000000000001" customHeight="1" x14ac:dyDescent="0.2">
      <c r="A35" s="86"/>
      <c r="B35" s="763" t="s">
        <v>938</v>
      </c>
      <c r="C35" s="763"/>
      <c r="D35" s="186" t="s">
        <v>689</v>
      </c>
      <c r="E35" s="186" t="s">
        <v>732</v>
      </c>
      <c r="F35" s="186" t="s">
        <v>1023</v>
      </c>
      <c r="G35" s="186" t="s">
        <v>1023</v>
      </c>
      <c r="H35" s="186" t="s">
        <v>1109</v>
      </c>
      <c r="I35" s="186" t="s">
        <v>728</v>
      </c>
      <c r="J35" s="186" t="s">
        <v>1219</v>
      </c>
      <c r="K35" s="186" t="s">
        <v>1220</v>
      </c>
      <c r="L35" s="186" t="s">
        <v>79</v>
      </c>
      <c r="M35" s="186" t="s">
        <v>94</v>
      </c>
      <c r="N35" s="186" t="s">
        <v>1221</v>
      </c>
      <c r="O35" s="86"/>
      <c r="P35" s="86"/>
    </row>
    <row r="36" spans="1:16" s="76" customFormat="1" ht="20.100000000000001" customHeight="1" x14ac:dyDescent="0.2">
      <c r="A36" s="86"/>
      <c r="B36" s="765" t="s">
        <v>939</v>
      </c>
      <c r="C36" s="765"/>
      <c r="D36" s="194" t="s">
        <v>690</v>
      </c>
      <c r="E36" s="194" t="s">
        <v>733</v>
      </c>
      <c r="F36" s="194" t="s">
        <v>1024</v>
      </c>
      <c r="G36" s="194" t="s">
        <v>1080</v>
      </c>
      <c r="H36" s="194" t="s">
        <v>746</v>
      </c>
      <c r="I36" s="194" t="s">
        <v>739</v>
      </c>
      <c r="J36" s="194" t="s">
        <v>65</v>
      </c>
      <c r="K36" s="194" t="s">
        <v>1222</v>
      </c>
      <c r="L36" s="194" t="s">
        <v>1223</v>
      </c>
      <c r="M36" s="194" t="s">
        <v>94</v>
      </c>
      <c r="N36" s="194" t="s">
        <v>1224</v>
      </c>
      <c r="O36" s="86"/>
      <c r="P36" s="86"/>
    </row>
    <row r="37" spans="1:16" s="76" customFormat="1" ht="20.100000000000001" customHeight="1" x14ac:dyDescent="0.2">
      <c r="A37" s="86"/>
      <c r="B37" s="767" t="s">
        <v>377</v>
      </c>
      <c r="C37" s="767"/>
      <c r="D37" s="186" t="s">
        <v>691</v>
      </c>
      <c r="E37" s="186" t="s">
        <v>734</v>
      </c>
      <c r="F37" s="186" t="s">
        <v>1025</v>
      </c>
      <c r="G37" s="186" t="s">
        <v>708</v>
      </c>
      <c r="H37" s="186" t="s">
        <v>732</v>
      </c>
      <c r="I37" s="186" t="s">
        <v>1105</v>
      </c>
      <c r="J37" s="186" t="s">
        <v>1225</v>
      </c>
      <c r="K37" s="186" t="s">
        <v>68</v>
      </c>
      <c r="L37" s="186" t="s">
        <v>1226</v>
      </c>
      <c r="M37" s="186" t="s">
        <v>66</v>
      </c>
      <c r="N37" s="186" t="s">
        <v>1227</v>
      </c>
      <c r="O37" s="86"/>
      <c r="P37" s="86"/>
    </row>
    <row r="38" spans="1:16" s="76" customFormat="1" ht="20.100000000000001" customHeight="1" x14ac:dyDescent="0.2">
      <c r="A38" s="86"/>
      <c r="B38" s="765" t="s">
        <v>1252</v>
      </c>
      <c r="C38" s="765"/>
      <c r="D38" s="194" t="s">
        <v>692</v>
      </c>
      <c r="E38" s="194" t="s">
        <v>735</v>
      </c>
      <c r="F38" s="194" t="s">
        <v>692</v>
      </c>
      <c r="G38" s="194" t="s">
        <v>1081</v>
      </c>
      <c r="H38" s="194" t="s">
        <v>739</v>
      </c>
      <c r="I38" s="194" t="s">
        <v>732</v>
      </c>
      <c r="J38" s="194" t="s">
        <v>65</v>
      </c>
      <c r="K38" s="194" t="s">
        <v>68</v>
      </c>
      <c r="L38" s="194" t="s">
        <v>1228</v>
      </c>
      <c r="M38" s="194" t="s">
        <v>68</v>
      </c>
      <c r="N38" s="194" t="s">
        <v>1227</v>
      </c>
      <c r="O38" s="86"/>
      <c r="P38" s="86"/>
    </row>
    <row r="39" spans="1:16" s="76" customFormat="1" ht="20.100000000000001" customHeight="1" x14ac:dyDescent="0.2">
      <c r="A39" s="86"/>
      <c r="B39" s="767" t="s">
        <v>508</v>
      </c>
      <c r="C39" s="767"/>
      <c r="D39" s="186" t="s">
        <v>693</v>
      </c>
      <c r="E39" s="186" t="s">
        <v>736</v>
      </c>
      <c r="F39" s="186" t="s">
        <v>1026</v>
      </c>
      <c r="G39" s="186" t="s">
        <v>1080</v>
      </c>
      <c r="H39" s="186" t="s">
        <v>735</v>
      </c>
      <c r="I39" s="186" t="s">
        <v>736</v>
      </c>
      <c r="J39" s="186" t="s">
        <v>65</v>
      </c>
      <c r="K39" s="186" t="s">
        <v>1213</v>
      </c>
      <c r="L39" s="186" t="s">
        <v>1226</v>
      </c>
      <c r="M39" s="186" t="s">
        <v>1229</v>
      </c>
      <c r="N39" s="186" t="s">
        <v>1224</v>
      </c>
      <c r="O39" s="86"/>
      <c r="P39" s="86"/>
    </row>
    <row r="40" spans="1:16" s="76" customFormat="1" ht="20.100000000000001" customHeight="1" x14ac:dyDescent="0.2">
      <c r="A40" s="86"/>
      <c r="B40" s="765" t="s">
        <v>940</v>
      </c>
      <c r="C40" s="765"/>
      <c r="D40" s="194" t="s">
        <v>694</v>
      </c>
      <c r="E40" s="194" t="s">
        <v>737</v>
      </c>
      <c r="F40" s="194" t="s">
        <v>1027</v>
      </c>
      <c r="G40" s="194" t="s">
        <v>1082</v>
      </c>
      <c r="H40" s="194" t="s">
        <v>738</v>
      </c>
      <c r="I40" s="194" t="s">
        <v>734</v>
      </c>
      <c r="J40" s="194" t="s">
        <v>1230</v>
      </c>
      <c r="K40" s="194" t="s">
        <v>76</v>
      </c>
      <c r="L40" s="194" t="s">
        <v>93</v>
      </c>
      <c r="M40" s="194" t="s">
        <v>1231</v>
      </c>
      <c r="N40" s="194" t="s">
        <v>1232</v>
      </c>
      <c r="O40" s="86"/>
      <c r="P40" s="86"/>
    </row>
    <row r="41" spans="1:16" s="76" customFormat="1" ht="20.100000000000001" customHeight="1" x14ac:dyDescent="0.2">
      <c r="A41" s="86"/>
      <c r="B41" s="767" t="s">
        <v>941</v>
      </c>
      <c r="C41" s="767"/>
      <c r="D41" s="186" t="s">
        <v>690</v>
      </c>
      <c r="E41" s="186" t="s">
        <v>738</v>
      </c>
      <c r="F41" s="186" t="s">
        <v>1028</v>
      </c>
      <c r="G41" s="186" t="s">
        <v>1083</v>
      </c>
      <c r="H41" s="186" t="s">
        <v>37</v>
      </c>
      <c r="I41" s="186"/>
      <c r="J41" s="186" t="s">
        <v>1233</v>
      </c>
      <c r="K41" s="186" t="s">
        <v>1234</v>
      </c>
      <c r="L41" s="186" t="s">
        <v>1235</v>
      </c>
      <c r="M41" s="186" t="s">
        <v>1231</v>
      </c>
      <c r="N41" s="186" t="s">
        <v>1232</v>
      </c>
      <c r="O41" s="86"/>
      <c r="P41" s="86"/>
    </row>
    <row r="42" spans="1:16" s="76" customFormat="1" ht="20.100000000000001" customHeight="1" x14ac:dyDescent="0.2">
      <c r="A42" s="86"/>
      <c r="B42" s="765" t="s">
        <v>510</v>
      </c>
      <c r="C42" s="765"/>
      <c r="D42" s="194" t="s">
        <v>691</v>
      </c>
      <c r="E42" s="194" t="s">
        <v>739</v>
      </c>
      <c r="F42" s="194" t="s">
        <v>1029</v>
      </c>
      <c r="G42" s="194" t="s">
        <v>696</v>
      </c>
      <c r="H42" s="194" t="s">
        <v>740</v>
      </c>
      <c r="I42" s="194" t="s">
        <v>739</v>
      </c>
      <c r="J42" s="194" t="s">
        <v>1236</v>
      </c>
      <c r="K42" s="194" t="s">
        <v>1237</v>
      </c>
      <c r="L42" s="194" t="s">
        <v>67</v>
      </c>
      <c r="M42" s="194" t="s">
        <v>1236</v>
      </c>
      <c r="N42" s="194" t="s">
        <v>1238</v>
      </c>
      <c r="O42" s="86"/>
      <c r="P42" s="86"/>
    </row>
    <row r="43" spans="1:16" s="76" customFormat="1" ht="20.100000000000001" customHeight="1" x14ac:dyDescent="0.2">
      <c r="A43" s="86"/>
      <c r="B43" s="767" t="s">
        <v>512</v>
      </c>
      <c r="C43" s="767"/>
      <c r="D43" s="186" t="s">
        <v>695</v>
      </c>
      <c r="E43" s="186" t="s">
        <v>740</v>
      </c>
      <c r="F43" s="186" t="s">
        <v>1029</v>
      </c>
      <c r="G43" s="186" t="s">
        <v>1084</v>
      </c>
      <c r="H43" s="186" t="s">
        <v>38</v>
      </c>
      <c r="I43" s="186" t="s">
        <v>740</v>
      </c>
      <c r="J43" s="186" t="s">
        <v>1239</v>
      </c>
      <c r="K43" s="186" t="s">
        <v>1240</v>
      </c>
      <c r="L43" s="186" t="s">
        <v>67</v>
      </c>
      <c r="M43" s="186" t="s">
        <v>1241</v>
      </c>
      <c r="N43" s="186" t="s">
        <v>68</v>
      </c>
      <c r="O43" s="86"/>
      <c r="P43" s="86"/>
    </row>
    <row r="44" spans="1:16" s="76" customFormat="1" ht="20.100000000000001" customHeight="1" x14ac:dyDescent="0.2">
      <c r="A44" s="86"/>
      <c r="B44" s="765" t="s">
        <v>942</v>
      </c>
      <c r="C44" s="765"/>
      <c r="D44" s="194" t="s">
        <v>696</v>
      </c>
      <c r="E44" s="194" t="s">
        <v>739</v>
      </c>
      <c r="F44" s="194" t="s">
        <v>691</v>
      </c>
      <c r="G44" s="194" t="s">
        <v>1072</v>
      </c>
      <c r="H44" s="194" t="s">
        <v>735</v>
      </c>
      <c r="I44" s="194" t="s">
        <v>46</v>
      </c>
      <c r="J44" s="194" t="s">
        <v>1242</v>
      </c>
      <c r="K44" s="194" t="s">
        <v>68</v>
      </c>
      <c r="L44" s="194" t="s">
        <v>1243</v>
      </c>
      <c r="M44" s="194" t="s">
        <v>63</v>
      </c>
      <c r="N44" s="194" t="s">
        <v>72</v>
      </c>
      <c r="O44" s="86"/>
      <c r="P44" s="86"/>
    </row>
    <row r="45" spans="1:16" s="76" customFormat="1" ht="20.100000000000001" customHeight="1" x14ac:dyDescent="0.2">
      <c r="A45" s="86"/>
      <c r="B45" s="767" t="s">
        <v>516</v>
      </c>
      <c r="C45" s="767"/>
      <c r="D45" s="186" t="s">
        <v>697</v>
      </c>
      <c r="E45" s="186" t="s">
        <v>739</v>
      </c>
      <c r="F45" s="186" t="s">
        <v>690</v>
      </c>
      <c r="G45" s="186" t="s">
        <v>696</v>
      </c>
      <c r="H45" s="186" t="s">
        <v>734</v>
      </c>
      <c r="I45" s="186" t="s">
        <v>741</v>
      </c>
      <c r="J45" s="186" t="s">
        <v>1242</v>
      </c>
      <c r="K45" s="186" t="s">
        <v>74</v>
      </c>
      <c r="L45" s="186" t="s">
        <v>67</v>
      </c>
      <c r="M45" s="186" t="s">
        <v>1219</v>
      </c>
      <c r="N45" s="186" t="s">
        <v>1244</v>
      </c>
      <c r="O45" s="86"/>
      <c r="P45" s="86"/>
    </row>
    <row r="46" spans="1:16" s="76" customFormat="1" ht="20.100000000000001" customHeight="1" x14ac:dyDescent="0.2">
      <c r="A46" s="86"/>
      <c r="B46" s="765" t="s">
        <v>943</v>
      </c>
      <c r="C46" s="765"/>
      <c r="D46" s="194" t="s">
        <v>693</v>
      </c>
      <c r="E46" s="194" t="s">
        <v>734</v>
      </c>
      <c r="F46" s="194" t="s">
        <v>1030</v>
      </c>
      <c r="G46" s="194" t="s">
        <v>700</v>
      </c>
      <c r="H46" s="194" t="s">
        <v>736</v>
      </c>
      <c r="I46" s="194"/>
      <c r="J46" s="194" t="s">
        <v>1245</v>
      </c>
      <c r="K46" s="194" t="s">
        <v>1229</v>
      </c>
      <c r="L46" s="194" t="s">
        <v>1161</v>
      </c>
      <c r="M46" s="194" t="s">
        <v>1162</v>
      </c>
      <c r="N46" s="194" t="s">
        <v>1232</v>
      </c>
      <c r="O46" s="86"/>
      <c r="P46" s="86"/>
    </row>
    <row r="47" spans="1:16" s="76" customFormat="1" ht="20.100000000000001" customHeight="1" x14ac:dyDescent="0.2">
      <c r="A47" s="86"/>
      <c r="B47" s="767" t="s">
        <v>520</v>
      </c>
      <c r="C47" s="767"/>
      <c r="D47" s="186" t="s">
        <v>690</v>
      </c>
      <c r="E47" s="186" t="s">
        <v>741</v>
      </c>
      <c r="F47" s="186" t="s">
        <v>699</v>
      </c>
      <c r="G47" s="186" t="s">
        <v>1085</v>
      </c>
      <c r="H47" s="186" t="s">
        <v>736</v>
      </c>
      <c r="I47" s="186"/>
      <c r="J47" s="186" t="s">
        <v>1321</v>
      </c>
      <c r="K47" s="186" t="s">
        <v>1234</v>
      </c>
      <c r="L47" s="186" t="s">
        <v>1322</v>
      </c>
      <c r="M47" s="186" t="s">
        <v>1323</v>
      </c>
      <c r="N47" s="186" t="s">
        <v>1244</v>
      </c>
      <c r="O47" s="86"/>
      <c r="P47" s="86"/>
    </row>
    <row r="48" spans="1:16" s="76" customFormat="1" ht="20.100000000000001" customHeight="1" x14ac:dyDescent="0.2">
      <c r="A48" s="86"/>
      <c r="B48" s="765" t="s">
        <v>524</v>
      </c>
      <c r="C48" s="765"/>
      <c r="D48" s="194" t="s">
        <v>698</v>
      </c>
      <c r="E48" s="194" t="s">
        <v>742</v>
      </c>
      <c r="F48" s="194" t="s">
        <v>1031</v>
      </c>
      <c r="G48" s="194" t="s">
        <v>700</v>
      </c>
      <c r="H48" s="194" t="s">
        <v>736</v>
      </c>
      <c r="I48" s="194"/>
      <c r="J48" s="194" t="s">
        <v>1233</v>
      </c>
      <c r="K48" s="194" t="s">
        <v>1324</v>
      </c>
      <c r="L48" s="194" t="s">
        <v>1325</v>
      </c>
      <c r="M48" s="194" t="s">
        <v>1326</v>
      </c>
      <c r="N48" s="194" t="s">
        <v>1203</v>
      </c>
      <c r="O48" s="86"/>
      <c r="P48" s="86"/>
    </row>
    <row r="49" spans="1:16" s="76" customFormat="1" ht="20.100000000000001" customHeight="1" x14ac:dyDescent="0.2">
      <c r="A49" s="86"/>
      <c r="B49" s="767" t="s">
        <v>944</v>
      </c>
      <c r="C49" s="767"/>
      <c r="D49" s="186" t="s">
        <v>699</v>
      </c>
      <c r="E49" s="186" t="s">
        <v>742</v>
      </c>
      <c r="F49" s="186" t="s">
        <v>1032</v>
      </c>
      <c r="G49" s="186" t="s">
        <v>699</v>
      </c>
      <c r="H49" s="186" t="s">
        <v>39</v>
      </c>
      <c r="I49" s="186" t="s">
        <v>728</v>
      </c>
      <c r="J49" s="186" t="s">
        <v>1233</v>
      </c>
      <c r="K49" s="186" t="s">
        <v>1213</v>
      </c>
      <c r="L49" s="186" t="s">
        <v>1327</v>
      </c>
      <c r="M49" s="186" t="s">
        <v>94</v>
      </c>
      <c r="N49" s="186" t="s">
        <v>1244</v>
      </c>
      <c r="O49" s="86"/>
      <c r="P49" s="86"/>
    </row>
    <row r="50" spans="1:16" s="76" customFormat="1" ht="20.100000000000001" customHeight="1" x14ac:dyDescent="0.2">
      <c r="A50" s="86"/>
      <c r="B50" s="765" t="s">
        <v>945</v>
      </c>
      <c r="C50" s="765"/>
      <c r="D50" s="194" t="s">
        <v>699</v>
      </c>
      <c r="E50" s="194" t="s">
        <v>742</v>
      </c>
      <c r="F50" s="194" t="s">
        <v>1032</v>
      </c>
      <c r="G50" s="194" t="s">
        <v>699</v>
      </c>
      <c r="H50" s="194" t="s">
        <v>40</v>
      </c>
      <c r="I50" s="194" t="s">
        <v>728</v>
      </c>
      <c r="J50" s="194" t="s">
        <v>1233</v>
      </c>
      <c r="K50" s="194" t="s">
        <v>1237</v>
      </c>
      <c r="L50" s="194" t="s">
        <v>1327</v>
      </c>
      <c r="M50" s="194" t="s">
        <v>94</v>
      </c>
      <c r="N50" s="194" t="s">
        <v>1244</v>
      </c>
      <c r="O50" s="86"/>
      <c r="P50" s="86"/>
    </row>
    <row r="51" spans="1:16" s="76" customFormat="1" ht="20.100000000000001" customHeight="1" x14ac:dyDescent="0.2">
      <c r="A51" s="86"/>
      <c r="B51" s="767" t="s">
        <v>530</v>
      </c>
      <c r="C51" s="767"/>
      <c r="D51" s="186" t="s">
        <v>700</v>
      </c>
      <c r="E51" s="186" t="s">
        <v>739</v>
      </c>
      <c r="F51" s="186" t="s">
        <v>1029</v>
      </c>
      <c r="G51" s="186" t="s">
        <v>1083</v>
      </c>
      <c r="H51" s="186" t="s">
        <v>41</v>
      </c>
      <c r="I51" s="186" t="s">
        <v>54</v>
      </c>
      <c r="J51" s="186" t="s">
        <v>1233</v>
      </c>
      <c r="K51" s="186" t="s">
        <v>76</v>
      </c>
      <c r="L51" s="186" t="s">
        <v>104</v>
      </c>
      <c r="M51" s="186" t="s">
        <v>1328</v>
      </c>
      <c r="N51" s="186" t="s">
        <v>1329</v>
      </c>
      <c r="O51" s="86"/>
      <c r="P51" s="86"/>
    </row>
    <row r="52" spans="1:16" s="76" customFormat="1" ht="20.100000000000001" customHeight="1" x14ac:dyDescent="0.2">
      <c r="A52" s="86"/>
      <c r="B52" s="765" t="s">
        <v>946</v>
      </c>
      <c r="C52" s="765"/>
      <c r="D52" s="194" t="s">
        <v>701</v>
      </c>
      <c r="E52" s="194" t="s">
        <v>743</v>
      </c>
      <c r="F52" s="194" t="s">
        <v>692</v>
      </c>
      <c r="G52" s="194" t="s">
        <v>1086</v>
      </c>
      <c r="H52" s="194" t="s">
        <v>37</v>
      </c>
      <c r="I52" s="194"/>
      <c r="J52" s="194" t="s">
        <v>1330</v>
      </c>
      <c r="K52" s="194" t="s">
        <v>1234</v>
      </c>
      <c r="L52" s="194" t="s">
        <v>1331</v>
      </c>
      <c r="M52" s="194" t="s">
        <v>1231</v>
      </c>
      <c r="N52" s="194" t="s">
        <v>1230</v>
      </c>
      <c r="O52" s="86"/>
      <c r="P52" s="86"/>
    </row>
    <row r="53" spans="1:16" s="76" customFormat="1" ht="20.100000000000001" customHeight="1" x14ac:dyDescent="0.2">
      <c r="A53" s="86"/>
      <c r="B53" s="767" t="s">
        <v>532</v>
      </c>
      <c r="C53" s="767"/>
      <c r="D53" s="186" t="s">
        <v>698</v>
      </c>
      <c r="E53" s="186" t="s">
        <v>738</v>
      </c>
      <c r="F53" s="186" t="s">
        <v>692</v>
      </c>
      <c r="G53" s="186" t="s">
        <v>1087</v>
      </c>
      <c r="H53" s="186" t="s">
        <v>37</v>
      </c>
      <c r="I53" s="186" t="s">
        <v>734</v>
      </c>
      <c r="J53" s="186" t="s">
        <v>1233</v>
      </c>
      <c r="K53" s="186" t="s">
        <v>74</v>
      </c>
      <c r="L53" s="186" t="s">
        <v>1226</v>
      </c>
      <c r="M53" s="186" t="s">
        <v>1233</v>
      </c>
      <c r="N53" s="186" t="s">
        <v>1221</v>
      </c>
      <c r="O53" s="86"/>
      <c r="P53" s="86"/>
    </row>
    <row r="54" spans="1:16" s="76" customFormat="1" ht="20.100000000000001" customHeight="1" x14ac:dyDescent="0.2">
      <c r="A54" s="86"/>
      <c r="B54" s="765" t="s">
        <v>534</v>
      </c>
      <c r="C54" s="765"/>
      <c r="D54" s="194" t="s">
        <v>702</v>
      </c>
      <c r="E54" s="194" t="s">
        <v>742</v>
      </c>
      <c r="F54" s="194" t="s">
        <v>690</v>
      </c>
      <c r="G54" s="194" t="s">
        <v>1088</v>
      </c>
      <c r="H54" s="194" t="s">
        <v>37</v>
      </c>
      <c r="I54" s="194" t="s">
        <v>734</v>
      </c>
      <c r="J54" s="194" t="s">
        <v>1233</v>
      </c>
      <c r="K54" s="194" t="s">
        <v>74</v>
      </c>
      <c r="L54" s="194" t="s">
        <v>1226</v>
      </c>
      <c r="M54" s="194" t="s">
        <v>1233</v>
      </c>
      <c r="N54" s="194" t="s">
        <v>1221</v>
      </c>
      <c r="O54" s="86"/>
      <c r="P54" s="86"/>
    </row>
    <row r="55" spans="1:16" s="76" customFormat="1" ht="20.100000000000001" customHeight="1" x14ac:dyDescent="0.2">
      <c r="A55" s="86"/>
      <c r="B55" s="767" t="s">
        <v>535</v>
      </c>
      <c r="C55" s="767"/>
      <c r="D55" s="186" t="s">
        <v>692</v>
      </c>
      <c r="E55" s="186" t="s">
        <v>735</v>
      </c>
      <c r="F55" s="186" t="s">
        <v>1032</v>
      </c>
      <c r="G55" s="186" t="s">
        <v>1089</v>
      </c>
      <c r="H55" s="186" t="s">
        <v>42</v>
      </c>
      <c r="I55" s="186" t="s">
        <v>1101</v>
      </c>
      <c r="J55" s="186" t="s">
        <v>80</v>
      </c>
      <c r="K55" s="186" t="s">
        <v>1238</v>
      </c>
      <c r="L55" s="186" t="s">
        <v>69</v>
      </c>
      <c r="M55" s="186" t="s">
        <v>1238</v>
      </c>
      <c r="N55" s="186" t="s">
        <v>1238</v>
      </c>
      <c r="O55" s="86"/>
      <c r="P55" s="86"/>
    </row>
    <row r="56" spans="1:16" s="76" customFormat="1" ht="20.100000000000001" customHeight="1" x14ac:dyDescent="0.2">
      <c r="A56" s="86"/>
      <c r="B56" s="765" t="s">
        <v>947</v>
      </c>
      <c r="C56" s="765"/>
      <c r="D56" s="194" t="s">
        <v>702</v>
      </c>
      <c r="E56" s="194" t="s">
        <v>742</v>
      </c>
      <c r="F56" s="194" t="s">
        <v>1058</v>
      </c>
      <c r="G56" s="194" t="s">
        <v>705</v>
      </c>
      <c r="H56" s="194" t="s">
        <v>39</v>
      </c>
      <c r="I56" s="194"/>
      <c r="J56" s="194" t="s">
        <v>94</v>
      </c>
      <c r="K56" s="194" t="s">
        <v>1234</v>
      </c>
      <c r="L56" s="194" t="s">
        <v>1161</v>
      </c>
      <c r="M56" s="194" t="s">
        <v>94</v>
      </c>
      <c r="N56" s="194" t="s">
        <v>1332</v>
      </c>
      <c r="O56" s="86"/>
      <c r="P56" s="86"/>
    </row>
    <row r="57" spans="1:16" s="76" customFormat="1" ht="20.100000000000001" customHeight="1" x14ac:dyDescent="0.2">
      <c r="A57" s="86"/>
      <c r="B57" s="767" t="s">
        <v>536</v>
      </c>
      <c r="C57" s="767"/>
      <c r="D57" s="186" t="s">
        <v>691</v>
      </c>
      <c r="E57" s="186" t="s">
        <v>734</v>
      </c>
      <c r="F57" s="186" t="s">
        <v>691</v>
      </c>
      <c r="G57" s="186" t="s">
        <v>1072</v>
      </c>
      <c r="H57" s="186" t="s">
        <v>734</v>
      </c>
      <c r="I57" s="186" t="s">
        <v>742</v>
      </c>
      <c r="J57" s="186" t="s">
        <v>1333</v>
      </c>
      <c r="K57" s="186" t="s">
        <v>68</v>
      </c>
      <c r="L57" s="186" t="s">
        <v>1334</v>
      </c>
      <c r="M57" s="186" t="s">
        <v>1241</v>
      </c>
      <c r="N57" s="186" t="s">
        <v>1232</v>
      </c>
      <c r="O57" s="86"/>
      <c r="P57" s="86"/>
    </row>
    <row r="58" spans="1:16" s="76" customFormat="1" ht="20.100000000000001" customHeight="1" x14ac:dyDescent="0.2">
      <c r="A58" s="86"/>
      <c r="B58" s="766" t="s">
        <v>639</v>
      </c>
      <c r="C58" s="766"/>
      <c r="D58" s="196" t="s">
        <v>690</v>
      </c>
      <c r="E58" s="196" t="s">
        <v>741</v>
      </c>
      <c r="F58" s="196" t="s">
        <v>691</v>
      </c>
      <c r="G58" s="196" t="s">
        <v>1090</v>
      </c>
      <c r="H58" s="196" t="s">
        <v>741</v>
      </c>
      <c r="I58" s="196" t="s">
        <v>37</v>
      </c>
      <c r="J58" s="196" t="s">
        <v>1335</v>
      </c>
      <c r="K58" s="196" t="s">
        <v>68</v>
      </c>
      <c r="L58" s="196" t="s">
        <v>67</v>
      </c>
      <c r="M58" s="196" t="s">
        <v>94</v>
      </c>
      <c r="N58" s="196" t="s">
        <v>68</v>
      </c>
      <c r="O58" s="86"/>
      <c r="P58" s="86"/>
    </row>
    <row r="59" spans="1:16" s="76" customFormat="1" ht="20.100000000000001" customHeight="1" x14ac:dyDescent="0.2">
      <c r="A59" s="86"/>
      <c r="B59" s="18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86"/>
      <c r="P59" s="86"/>
    </row>
    <row r="60" spans="1:16" s="56" customFormat="1" ht="20.100000000000001" customHeight="1" x14ac:dyDescent="0.2">
      <c r="A60" s="183"/>
      <c r="B60" s="197"/>
      <c r="C60" s="181"/>
      <c r="D60" s="181"/>
      <c r="E60" s="181"/>
      <c r="F60" s="181"/>
      <c r="G60" s="181"/>
      <c r="H60" s="181" t="s">
        <v>193</v>
      </c>
      <c r="J60" s="181"/>
      <c r="K60" s="181"/>
      <c r="L60" s="181"/>
      <c r="M60" s="181"/>
      <c r="N60" s="181"/>
      <c r="O60" s="183"/>
      <c r="P60" s="183"/>
    </row>
    <row r="61" spans="1:16" s="56" customFormat="1" ht="20.100000000000001" customHeight="1" x14ac:dyDescent="0.2">
      <c r="A61" s="183"/>
      <c r="B61" s="82"/>
      <c r="C61" s="82"/>
      <c r="D61" s="182" t="s">
        <v>385</v>
      </c>
      <c r="E61" s="182" t="s">
        <v>1138</v>
      </c>
      <c r="F61" s="182" t="s">
        <v>1125</v>
      </c>
      <c r="G61" s="182" t="s">
        <v>1124</v>
      </c>
      <c r="H61" s="182" t="s">
        <v>1123</v>
      </c>
      <c r="I61" s="182" t="s">
        <v>292</v>
      </c>
      <c r="J61" s="182" t="s">
        <v>929</v>
      </c>
      <c r="K61" s="182" t="s">
        <v>930</v>
      </c>
      <c r="L61" s="182" t="s">
        <v>931</v>
      </c>
      <c r="M61" s="182" t="s">
        <v>932</v>
      </c>
      <c r="N61" s="182" t="s">
        <v>933</v>
      </c>
      <c r="O61" s="183"/>
      <c r="P61" s="183"/>
    </row>
    <row r="62" spans="1:16" s="56" customFormat="1" ht="20.100000000000001" customHeight="1" x14ac:dyDescent="0.2">
      <c r="A62" s="183"/>
      <c r="B62" s="184"/>
      <c r="C62" s="184"/>
      <c r="D62" s="768" t="s">
        <v>1803</v>
      </c>
      <c r="E62" s="769"/>
      <c r="F62" s="769"/>
      <c r="G62" s="769"/>
      <c r="H62" s="769"/>
      <c r="I62" s="769"/>
      <c r="J62" s="768" t="s">
        <v>1804</v>
      </c>
      <c r="K62" s="769"/>
      <c r="L62" s="769"/>
      <c r="M62" s="769"/>
      <c r="N62" s="769"/>
      <c r="O62" s="183"/>
      <c r="P62" s="183"/>
    </row>
    <row r="63" spans="1:16" s="76" customFormat="1" ht="20.100000000000001" customHeight="1" x14ac:dyDescent="0.2">
      <c r="A63" s="86"/>
      <c r="B63" s="763" t="s">
        <v>194</v>
      </c>
      <c r="C63" s="763"/>
      <c r="D63" s="186" t="s">
        <v>703</v>
      </c>
      <c r="E63" s="186" t="s">
        <v>744</v>
      </c>
      <c r="F63" s="186" t="s">
        <v>1059</v>
      </c>
      <c r="G63" s="186" t="s">
        <v>1091</v>
      </c>
      <c r="H63" s="186" t="s">
        <v>43</v>
      </c>
      <c r="I63" s="186" t="s">
        <v>55</v>
      </c>
      <c r="J63" s="186" t="s">
        <v>1336</v>
      </c>
      <c r="K63" s="186" t="s">
        <v>1337</v>
      </c>
      <c r="L63" s="186" t="s">
        <v>1338</v>
      </c>
      <c r="M63" s="186" t="s">
        <v>1202</v>
      </c>
      <c r="N63" s="186" t="s">
        <v>1200</v>
      </c>
      <c r="O63" s="86"/>
      <c r="P63" s="86"/>
    </row>
    <row r="64" spans="1:16" s="76" customFormat="1" ht="20.100000000000001" customHeight="1" x14ac:dyDescent="0.2">
      <c r="A64" s="86"/>
      <c r="B64" s="765" t="s">
        <v>195</v>
      </c>
      <c r="C64" s="765"/>
      <c r="D64" s="194" t="s">
        <v>704</v>
      </c>
      <c r="E64" s="194" t="s">
        <v>745</v>
      </c>
      <c r="F64" s="194" t="s">
        <v>1060</v>
      </c>
      <c r="G64" s="194" t="s">
        <v>1092</v>
      </c>
      <c r="H64" s="194" t="s">
        <v>44</v>
      </c>
      <c r="I64" s="194" t="s">
        <v>56</v>
      </c>
      <c r="J64" s="194" t="s">
        <v>1339</v>
      </c>
      <c r="K64" s="194" t="s">
        <v>1340</v>
      </c>
      <c r="L64" s="194" t="s">
        <v>1341</v>
      </c>
      <c r="M64" s="194" t="s">
        <v>1342</v>
      </c>
      <c r="N64" s="194" t="s">
        <v>1337</v>
      </c>
      <c r="O64" s="86"/>
      <c r="P64" s="86"/>
    </row>
    <row r="65" spans="1:16" s="76" customFormat="1" ht="20.100000000000001" customHeight="1" x14ac:dyDescent="0.2">
      <c r="A65" s="86"/>
      <c r="B65" s="767" t="s">
        <v>196</v>
      </c>
      <c r="C65" s="767"/>
      <c r="D65" s="186">
        <v>1.8</v>
      </c>
      <c r="E65" s="186">
        <v>0.12</v>
      </c>
      <c r="F65" s="186">
        <v>1.5</v>
      </c>
      <c r="G65" s="186">
        <v>0.37</v>
      </c>
      <c r="H65" s="186">
        <v>0.2</v>
      </c>
      <c r="I65" s="186">
        <v>0.7</v>
      </c>
      <c r="J65" s="186" t="s">
        <v>1339</v>
      </c>
      <c r="K65" s="186" t="s">
        <v>301</v>
      </c>
      <c r="L65" s="186" t="s">
        <v>1327</v>
      </c>
      <c r="M65" s="186" t="s">
        <v>1339</v>
      </c>
      <c r="N65" s="186" t="s">
        <v>1340</v>
      </c>
      <c r="O65" s="86"/>
      <c r="P65" s="86"/>
    </row>
    <row r="66" spans="1:16" s="76" customFormat="1" ht="20.100000000000001" customHeight="1" x14ac:dyDescent="0.2">
      <c r="A66" s="86"/>
      <c r="B66" s="765" t="s">
        <v>597</v>
      </c>
      <c r="C66" s="765"/>
      <c r="D66" s="194" t="s">
        <v>599</v>
      </c>
      <c r="E66" s="194" t="s">
        <v>601</v>
      </c>
      <c r="F66" s="194" t="s">
        <v>603</v>
      </c>
      <c r="G66" s="194" t="s">
        <v>605</v>
      </c>
      <c r="H66" s="194" t="s">
        <v>607</v>
      </c>
      <c r="I66" s="194" t="s">
        <v>608</v>
      </c>
      <c r="J66" s="194" t="s">
        <v>94</v>
      </c>
      <c r="K66" s="194" t="s">
        <v>76</v>
      </c>
      <c r="L66" s="194" t="s">
        <v>609</v>
      </c>
      <c r="M66" s="194" t="s">
        <v>1231</v>
      </c>
      <c r="N66" s="194" t="s">
        <v>79</v>
      </c>
      <c r="O66" s="86"/>
      <c r="P66" s="86"/>
    </row>
    <row r="67" spans="1:16" s="76" customFormat="1" ht="20.100000000000001" customHeight="1" x14ac:dyDescent="0.2">
      <c r="A67" s="86"/>
      <c r="B67" s="770" t="s">
        <v>598</v>
      </c>
      <c r="C67" s="770"/>
      <c r="D67" s="200" t="s">
        <v>600</v>
      </c>
      <c r="E67" s="200" t="s">
        <v>602</v>
      </c>
      <c r="F67" s="200" t="s">
        <v>604</v>
      </c>
      <c r="G67" s="200" t="s">
        <v>606</v>
      </c>
      <c r="H67" s="200" t="s">
        <v>607</v>
      </c>
      <c r="I67" s="200" t="s">
        <v>608</v>
      </c>
      <c r="J67" s="200" t="s">
        <v>94</v>
      </c>
      <c r="K67" s="200" t="s">
        <v>76</v>
      </c>
      <c r="L67" s="200" t="s">
        <v>609</v>
      </c>
      <c r="M67" s="200" t="s">
        <v>1231</v>
      </c>
      <c r="N67" s="200" t="s">
        <v>79</v>
      </c>
      <c r="O67" s="86"/>
      <c r="P67" s="86"/>
    </row>
    <row r="68" spans="1:16" s="76" customFormat="1" ht="20.100000000000001" customHeight="1" x14ac:dyDescent="0.2">
      <c r="A68" s="86"/>
      <c r="B68" s="189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86"/>
      <c r="P68" s="86"/>
    </row>
    <row r="69" spans="1:16" s="56" customFormat="1" ht="20.100000000000001" customHeight="1" x14ac:dyDescent="0.2">
      <c r="A69" s="183"/>
      <c r="B69" s="197"/>
      <c r="C69" s="198"/>
      <c r="D69" s="198"/>
      <c r="E69" s="198"/>
      <c r="F69" s="198"/>
      <c r="G69" s="198"/>
      <c r="H69" s="181" t="s">
        <v>1805</v>
      </c>
      <c r="I69" s="198"/>
      <c r="J69" s="198"/>
      <c r="K69" s="198"/>
      <c r="L69" s="198"/>
      <c r="M69" s="198"/>
      <c r="N69" s="198"/>
      <c r="O69" s="183"/>
      <c r="P69" s="183"/>
    </row>
    <row r="70" spans="1:16" s="56" customFormat="1" ht="20.100000000000001" customHeight="1" x14ac:dyDescent="0.2">
      <c r="A70" s="183"/>
      <c r="B70" s="82"/>
      <c r="C70" s="82"/>
      <c r="D70" s="182" t="s">
        <v>385</v>
      </c>
      <c r="E70" s="182" t="s">
        <v>1138</v>
      </c>
      <c r="F70" s="182" t="s">
        <v>1125</v>
      </c>
      <c r="G70" s="182" t="s">
        <v>1124</v>
      </c>
      <c r="H70" s="182" t="s">
        <v>1123</v>
      </c>
      <c r="I70" s="182" t="s">
        <v>292</v>
      </c>
      <c r="J70" s="182" t="s">
        <v>929</v>
      </c>
      <c r="K70" s="182" t="s">
        <v>930</v>
      </c>
      <c r="L70" s="182" t="s">
        <v>931</v>
      </c>
      <c r="M70" s="182" t="s">
        <v>932</v>
      </c>
      <c r="N70" s="182" t="s">
        <v>933</v>
      </c>
      <c r="O70" s="183"/>
      <c r="P70" s="183"/>
    </row>
    <row r="71" spans="1:16" s="56" customFormat="1" ht="20.100000000000001" customHeight="1" x14ac:dyDescent="0.2">
      <c r="A71" s="183"/>
      <c r="B71" s="184"/>
      <c r="C71" s="184"/>
      <c r="D71" s="768" t="s">
        <v>1803</v>
      </c>
      <c r="E71" s="769"/>
      <c r="F71" s="769"/>
      <c r="G71" s="769"/>
      <c r="H71" s="769"/>
      <c r="I71" s="769"/>
      <c r="J71" s="768" t="s">
        <v>1804</v>
      </c>
      <c r="K71" s="769"/>
      <c r="L71" s="769"/>
      <c r="M71" s="769"/>
      <c r="N71" s="769"/>
      <c r="O71" s="183"/>
      <c r="P71" s="183"/>
    </row>
    <row r="72" spans="1:16" s="76" customFormat="1" ht="20.100000000000001" customHeight="1" x14ac:dyDescent="0.2">
      <c r="A72" s="86"/>
      <c r="B72" s="763" t="s">
        <v>197</v>
      </c>
      <c r="C72" s="763"/>
      <c r="D72" s="186" t="s">
        <v>705</v>
      </c>
      <c r="E72" s="186" t="s">
        <v>746</v>
      </c>
      <c r="F72" s="186" t="s">
        <v>1061</v>
      </c>
      <c r="G72" s="186" t="s">
        <v>1093</v>
      </c>
      <c r="H72" s="186" t="s">
        <v>740</v>
      </c>
      <c r="I72" s="186" t="s">
        <v>57</v>
      </c>
      <c r="J72" s="186" t="s">
        <v>1233</v>
      </c>
      <c r="K72" s="186" t="s">
        <v>1213</v>
      </c>
      <c r="L72" s="186" t="s">
        <v>104</v>
      </c>
      <c r="M72" s="186" t="s">
        <v>302</v>
      </c>
      <c r="N72" s="186" t="s">
        <v>1221</v>
      </c>
      <c r="O72" s="86"/>
      <c r="P72" s="86"/>
    </row>
    <row r="73" spans="1:16" s="76" customFormat="1" ht="20.100000000000001" customHeight="1" x14ac:dyDescent="0.2">
      <c r="A73" s="86"/>
      <c r="B73" s="765" t="s">
        <v>198</v>
      </c>
      <c r="C73" s="765"/>
      <c r="D73" s="194" t="s">
        <v>706</v>
      </c>
      <c r="E73" s="194" t="s">
        <v>747</v>
      </c>
      <c r="F73" s="194" t="s">
        <v>1021</v>
      </c>
      <c r="G73" s="194" t="s">
        <v>1094</v>
      </c>
      <c r="H73" s="194" t="s">
        <v>45</v>
      </c>
      <c r="I73" s="194" t="s">
        <v>58</v>
      </c>
      <c r="J73" s="194" t="s">
        <v>1236</v>
      </c>
      <c r="K73" s="194" t="s">
        <v>303</v>
      </c>
      <c r="L73" s="194" t="s">
        <v>304</v>
      </c>
      <c r="M73" s="194" t="s">
        <v>305</v>
      </c>
      <c r="N73" s="194" t="s">
        <v>306</v>
      </c>
      <c r="O73" s="86"/>
      <c r="P73" s="86"/>
    </row>
    <row r="74" spans="1:16" s="76" customFormat="1" ht="20.100000000000001" customHeight="1" x14ac:dyDescent="0.2">
      <c r="A74" s="86"/>
      <c r="B74" s="767" t="s">
        <v>515</v>
      </c>
      <c r="C74" s="767"/>
      <c r="D74" s="186" t="s">
        <v>708</v>
      </c>
      <c r="E74" s="186" t="s">
        <v>749</v>
      </c>
      <c r="F74" s="186" t="s">
        <v>1063</v>
      </c>
      <c r="G74" s="186" t="s">
        <v>1096</v>
      </c>
      <c r="H74" s="186" t="s">
        <v>729</v>
      </c>
      <c r="I74" s="186" t="s">
        <v>749</v>
      </c>
      <c r="J74" s="186" t="s">
        <v>1231</v>
      </c>
      <c r="K74" s="186" t="s">
        <v>303</v>
      </c>
      <c r="L74" s="186" t="s">
        <v>1223</v>
      </c>
      <c r="M74" s="186" t="s">
        <v>1323</v>
      </c>
      <c r="N74" s="186" t="s">
        <v>1243</v>
      </c>
      <c r="O74" s="86"/>
      <c r="P74" s="86"/>
    </row>
    <row r="75" spans="1:16" s="76" customFormat="1" ht="20.100000000000001" customHeight="1" x14ac:dyDescent="0.2">
      <c r="A75" s="86"/>
      <c r="B75" s="765" t="s">
        <v>521</v>
      </c>
      <c r="C75" s="765"/>
      <c r="D75" s="194" t="s">
        <v>691</v>
      </c>
      <c r="E75" s="194" t="s">
        <v>728</v>
      </c>
      <c r="F75" s="194" t="s">
        <v>707</v>
      </c>
      <c r="G75" s="194" t="s">
        <v>755</v>
      </c>
      <c r="H75" s="194" t="s">
        <v>734</v>
      </c>
      <c r="I75" s="194" t="s">
        <v>1109</v>
      </c>
      <c r="J75" s="194" t="s">
        <v>308</v>
      </c>
      <c r="K75" s="194" t="s">
        <v>1237</v>
      </c>
      <c r="L75" s="194" t="s">
        <v>93</v>
      </c>
      <c r="M75" s="194" t="s">
        <v>1328</v>
      </c>
      <c r="N75" s="194" t="s">
        <v>1227</v>
      </c>
      <c r="O75" s="86"/>
      <c r="P75" s="86"/>
    </row>
    <row r="76" spans="1:16" s="76" customFormat="1" ht="20.100000000000001" customHeight="1" x14ac:dyDescent="0.2">
      <c r="A76" s="86"/>
      <c r="B76" s="767" t="s">
        <v>200</v>
      </c>
      <c r="C76" s="767"/>
      <c r="D76" s="186" t="s">
        <v>709</v>
      </c>
      <c r="E76" s="186" t="s">
        <v>750</v>
      </c>
      <c r="F76" s="186" t="s">
        <v>688</v>
      </c>
      <c r="G76" s="186" t="s">
        <v>1097</v>
      </c>
      <c r="H76" s="186" t="s">
        <v>46</v>
      </c>
      <c r="I76" s="186" t="s">
        <v>1198</v>
      </c>
      <c r="J76" s="186" t="s">
        <v>309</v>
      </c>
      <c r="K76" s="186" t="s">
        <v>301</v>
      </c>
      <c r="L76" s="186" t="s">
        <v>310</v>
      </c>
      <c r="M76" s="186" t="s">
        <v>311</v>
      </c>
      <c r="N76" s="186" t="s">
        <v>1200</v>
      </c>
      <c r="O76" s="86"/>
      <c r="P76" s="86"/>
    </row>
    <row r="77" spans="1:16" s="76" customFormat="1" ht="20.100000000000001" customHeight="1" x14ac:dyDescent="0.2">
      <c r="A77" s="86"/>
      <c r="B77" s="765" t="s">
        <v>201</v>
      </c>
      <c r="C77" s="765"/>
      <c r="D77" s="194" t="s">
        <v>710</v>
      </c>
      <c r="E77" s="194" t="s">
        <v>734</v>
      </c>
      <c r="F77" s="194" t="s">
        <v>681</v>
      </c>
      <c r="G77" s="194" t="s">
        <v>1098</v>
      </c>
      <c r="H77" s="194" t="s">
        <v>47</v>
      </c>
      <c r="I77" s="194" t="s">
        <v>59</v>
      </c>
      <c r="J77" s="194" t="s">
        <v>72</v>
      </c>
      <c r="K77" s="194"/>
      <c r="L77" s="194" t="s">
        <v>72</v>
      </c>
      <c r="M77" s="194" t="s">
        <v>312</v>
      </c>
      <c r="N77" s="194" t="s">
        <v>313</v>
      </c>
      <c r="O77" s="86"/>
      <c r="P77" s="86"/>
    </row>
    <row r="78" spans="1:16" s="76" customFormat="1" ht="20.100000000000001" customHeight="1" x14ac:dyDescent="0.2">
      <c r="A78" s="86"/>
      <c r="B78" s="767" t="s">
        <v>1187</v>
      </c>
      <c r="C78" s="767"/>
      <c r="D78" s="186" t="s">
        <v>693</v>
      </c>
      <c r="E78" s="186" t="s">
        <v>751</v>
      </c>
      <c r="F78" s="186" t="s">
        <v>689</v>
      </c>
      <c r="G78" s="186" t="s">
        <v>700</v>
      </c>
      <c r="H78" s="186" t="s">
        <v>48</v>
      </c>
      <c r="I78" s="186" t="s">
        <v>751</v>
      </c>
      <c r="J78" s="186"/>
      <c r="K78" s="186"/>
      <c r="L78" s="186"/>
      <c r="M78" s="186"/>
      <c r="N78" s="186"/>
      <c r="O78" s="86"/>
      <c r="P78" s="86"/>
    </row>
    <row r="79" spans="1:16" s="76" customFormat="1" ht="20.100000000000001" customHeight="1" x14ac:dyDescent="0.2">
      <c r="A79" s="86"/>
      <c r="B79" s="765" t="s">
        <v>527</v>
      </c>
      <c r="C79" s="765"/>
      <c r="D79" s="194" t="s">
        <v>711</v>
      </c>
      <c r="E79" s="194" t="s">
        <v>735</v>
      </c>
      <c r="F79" s="194" t="s">
        <v>1064</v>
      </c>
      <c r="G79" s="194" t="s">
        <v>1099</v>
      </c>
      <c r="H79" s="194" t="s">
        <v>49</v>
      </c>
      <c r="I79" s="194" t="s">
        <v>60</v>
      </c>
      <c r="J79" s="194" t="s">
        <v>314</v>
      </c>
      <c r="K79" s="194" t="s">
        <v>1227</v>
      </c>
      <c r="L79" s="194" t="s">
        <v>315</v>
      </c>
      <c r="M79" s="194" t="s">
        <v>316</v>
      </c>
      <c r="N79" s="194" t="s">
        <v>1227</v>
      </c>
      <c r="O79" s="86"/>
      <c r="P79" s="86"/>
    </row>
    <row r="80" spans="1:16" s="76" customFormat="1" ht="20.100000000000001" customHeight="1" x14ac:dyDescent="0.2">
      <c r="A80" s="86"/>
      <c r="B80" s="767" t="s">
        <v>529</v>
      </c>
      <c r="C80" s="767"/>
      <c r="D80" s="186" t="s">
        <v>706</v>
      </c>
      <c r="E80" s="186" t="s">
        <v>739</v>
      </c>
      <c r="F80" s="186" t="s">
        <v>1065</v>
      </c>
      <c r="G80" s="186" t="s">
        <v>1100</v>
      </c>
      <c r="H80" s="186" t="s">
        <v>45</v>
      </c>
      <c r="I80" s="186" t="s">
        <v>749</v>
      </c>
      <c r="J80" s="186" t="s">
        <v>1229</v>
      </c>
      <c r="K80" s="186" t="s">
        <v>317</v>
      </c>
      <c r="L80" s="186" t="s">
        <v>318</v>
      </c>
      <c r="M80" s="186" t="s">
        <v>1324</v>
      </c>
      <c r="N80" s="186" t="s">
        <v>79</v>
      </c>
      <c r="O80" s="86"/>
      <c r="P80" s="86"/>
    </row>
    <row r="81" spans="1:16" s="76" customFormat="1" ht="20.100000000000001" customHeight="1" x14ac:dyDescent="0.2">
      <c r="A81" s="86"/>
      <c r="B81" s="765" t="s">
        <v>1189</v>
      </c>
      <c r="C81" s="765"/>
      <c r="D81" s="201" t="s">
        <v>713</v>
      </c>
      <c r="E81" s="201" t="s">
        <v>736</v>
      </c>
      <c r="F81" s="201" t="s">
        <v>1067</v>
      </c>
      <c r="G81" s="201" t="s">
        <v>1102</v>
      </c>
      <c r="H81" s="201" t="s">
        <v>37</v>
      </c>
      <c r="I81" s="201" t="s">
        <v>61</v>
      </c>
      <c r="J81" s="201" t="s">
        <v>325</v>
      </c>
      <c r="K81" s="201" t="s">
        <v>76</v>
      </c>
      <c r="L81" s="201" t="s">
        <v>1243</v>
      </c>
      <c r="M81" s="201" t="s">
        <v>1237</v>
      </c>
      <c r="N81" s="201" t="s">
        <v>326</v>
      </c>
      <c r="O81" s="86"/>
      <c r="P81" s="86"/>
    </row>
    <row r="82" spans="1:16" s="76" customFormat="1" ht="20.100000000000001" customHeight="1" x14ac:dyDescent="0.2">
      <c r="A82" s="86"/>
      <c r="B82" s="770" t="s">
        <v>1190</v>
      </c>
      <c r="C82" s="770"/>
      <c r="D82" s="202" t="s">
        <v>696</v>
      </c>
      <c r="E82" s="202" t="s">
        <v>739</v>
      </c>
      <c r="F82" s="202" t="s">
        <v>1068</v>
      </c>
      <c r="G82" s="202" t="s">
        <v>1103</v>
      </c>
      <c r="H82" s="202" t="s">
        <v>45</v>
      </c>
      <c r="I82" s="202" t="s">
        <v>749</v>
      </c>
      <c r="J82" s="202" t="s">
        <v>327</v>
      </c>
      <c r="K82" s="202" t="s">
        <v>73</v>
      </c>
      <c r="L82" s="202" t="s">
        <v>104</v>
      </c>
      <c r="M82" s="202" t="s">
        <v>328</v>
      </c>
      <c r="N82" s="202" t="s">
        <v>329</v>
      </c>
      <c r="O82" s="86"/>
      <c r="P82" s="86"/>
    </row>
    <row r="83" spans="1:16" s="76" customFormat="1" ht="20.100000000000001" customHeight="1" x14ac:dyDescent="0.2">
      <c r="A83" s="86"/>
      <c r="O83" s="86"/>
      <c r="P83" s="86"/>
    </row>
    <row r="84" spans="1:16" s="76" customFormat="1" ht="20.100000000000001" customHeight="1" x14ac:dyDescent="0.2">
      <c r="A84" s="86"/>
      <c r="B84" s="251"/>
      <c r="C84" s="251"/>
      <c r="D84" s="195"/>
      <c r="E84" s="195"/>
      <c r="F84" s="195"/>
      <c r="G84" s="195"/>
      <c r="H84" s="181" t="s">
        <v>1806</v>
      </c>
      <c r="I84" s="195"/>
      <c r="J84" s="195"/>
      <c r="K84" s="195"/>
      <c r="L84" s="195"/>
      <c r="M84" s="195"/>
      <c r="N84" s="195"/>
      <c r="O84" s="86"/>
      <c r="P84" s="86"/>
    </row>
    <row r="85" spans="1:16" s="76" customFormat="1" ht="20.100000000000001" customHeight="1" x14ac:dyDescent="0.2">
      <c r="A85" s="86"/>
      <c r="B85" s="82"/>
      <c r="C85" s="82"/>
      <c r="D85" s="182" t="s">
        <v>385</v>
      </c>
      <c r="E85" s="182" t="s">
        <v>1138</v>
      </c>
      <c r="F85" s="182" t="s">
        <v>1125</v>
      </c>
      <c r="G85" s="182" t="s">
        <v>1124</v>
      </c>
      <c r="H85" s="182" t="s">
        <v>1123</v>
      </c>
      <c r="I85" s="182" t="s">
        <v>292</v>
      </c>
      <c r="J85" s="182" t="s">
        <v>929</v>
      </c>
      <c r="K85" s="182" t="s">
        <v>930</v>
      </c>
      <c r="L85" s="182" t="s">
        <v>931</v>
      </c>
      <c r="M85" s="182" t="s">
        <v>932</v>
      </c>
      <c r="N85" s="182" t="s">
        <v>933</v>
      </c>
      <c r="O85" s="86"/>
      <c r="P85" s="86"/>
    </row>
    <row r="86" spans="1:16" s="76" customFormat="1" ht="20.100000000000001" customHeight="1" x14ac:dyDescent="0.2">
      <c r="A86" s="86"/>
      <c r="B86" s="184"/>
      <c r="C86" s="184"/>
      <c r="D86" s="768" t="s">
        <v>1803</v>
      </c>
      <c r="E86" s="769"/>
      <c r="F86" s="769"/>
      <c r="G86" s="769"/>
      <c r="H86" s="769"/>
      <c r="I86" s="769"/>
      <c r="J86" s="768" t="s">
        <v>1804</v>
      </c>
      <c r="K86" s="769"/>
      <c r="L86" s="769"/>
      <c r="M86" s="769"/>
      <c r="N86" s="769"/>
      <c r="O86" s="86"/>
      <c r="P86" s="86"/>
    </row>
    <row r="87" spans="1:16" s="76" customFormat="1" ht="20.100000000000001" customHeight="1" x14ac:dyDescent="0.2">
      <c r="A87" s="86"/>
      <c r="B87" s="118" t="s">
        <v>199</v>
      </c>
      <c r="C87" s="118"/>
      <c r="D87" s="186" t="s">
        <v>707</v>
      </c>
      <c r="E87" s="186" t="s">
        <v>748</v>
      </c>
      <c r="F87" s="186" t="s">
        <v>1062</v>
      </c>
      <c r="G87" s="186" t="s">
        <v>1095</v>
      </c>
      <c r="H87" s="186" t="s">
        <v>742</v>
      </c>
      <c r="I87" s="186" t="s">
        <v>1194</v>
      </c>
      <c r="J87" s="186" t="s">
        <v>1219</v>
      </c>
      <c r="K87" s="186" t="s">
        <v>1244</v>
      </c>
      <c r="L87" s="186" t="s">
        <v>307</v>
      </c>
      <c r="M87" s="186" t="s">
        <v>94</v>
      </c>
      <c r="N87" s="186" t="s">
        <v>1221</v>
      </c>
      <c r="O87" s="86"/>
      <c r="P87" s="86"/>
    </row>
    <row r="88" spans="1:16" s="76" customFormat="1" ht="20.100000000000001" customHeight="1" x14ac:dyDescent="0.2">
      <c r="A88" s="86"/>
      <c r="B88" s="203" t="s">
        <v>1191</v>
      </c>
      <c r="C88" s="203"/>
      <c r="D88" s="201" t="s">
        <v>714</v>
      </c>
      <c r="E88" s="201" t="s">
        <v>752</v>
      </c>
      <c r="F88" s="201" t="s">
        <v>1069</v>
      </c>
      <c r="G88" s="201" t="s">
        <v>1095</v>
      </c>
      <c r="H88" s="201" t="s">
        <v>51</v>
      </c>
      <c r="I88" s="201" t="s">
        <v>1198</v>
      </c>
      <c r="J88" s="201" t="s">
        <v>1339</v>
      </c>
      <c r="K88" s="201" t="s">
        <v>330</v>
      </c>
      <c r="L88" s="201" t="s">
        <v>331</v>
      </c>
      <c r="M88" s="201" t="s">
        <v>332</v>
      </c>
      <c r="N88" s="201" t="s">
        <v>301</v>
      </c>
      <c r="O88" s="86"/>
      <c r="P88" s="86"/>
    </row>
    <row r="89" spans="1:16" s="76" customFormat="1" ht="20.100000000000001" customHeight="1" x14ac:dyDescent="0.2">
      <c r="A89" s="86"/>
      <c r="B89" s="118" t="s">
        <v>1188</v>
      </c>
      <c r="C89" s="118"/>
      <c r="D89" s="186">
        <v>2.8</v>
      </c>
      <c r="E89" s="186">
        <v>0.14000000000000001</v>
      </c>
      <c r="F89" s="186">
        <v>2</v>
      </c>
      <c r="G89" s="186">
        <v>1</v>
      </c>
      <c r="H89" s="186">
        <v>0.3</v>
      </c>
      <c r="I89" s="186">
        <v>0.2</v>
      </c>
      <c r="J89" s="186" t="s">
        <v>319</v>
      </c>
      <c r="K89" s="186" t="s">
        <v>101</v>
      </c>
      <c r="L89" s="186" t="s">
        <v>320</v>
      </c>
      <c r="M89" s="186" t="s">
        <v>102</v>
      </c>
      <c r="N89" s="186" t="s">
        <v>321</v>
      </c>
      <c r="O89" s="86"/>
      <c r="P89" s="86"/>
    </row>
    <row r="90" spans="1:16" s="76" customFormat="1" ht="20.100000000000001" customHeight="1" x14ac:dyDescent="0.2">
      <c r="A90" s="86"/>
      <c r="B90" s="203" t="s">
        <v>1192</v>
      </c>
      <c r="C90" s="203"/>
      <c r="D90" s="201" t="s">
        <v>715</v>
      </c>
      <c r="E90" s="201" t="s">
        <v>753</v>
      </c>
      <c r="F90" s="201" t="s">
        <v>1070</v>
      </c>
      <c r="G90" s="201" t="s">
        <v>735</v>
      </c>
      <c r="H90" s="201" t="s">
        <v>735</v>
      </c>
      <c r="I90" s="201" t="s">
        <v>753</v>
      </c>
      <c r="J90" s="201" t="s">
        <v>65</v>
      </c>
      <c r="K90" s="201" t="s">
        <v>333</v>
      </c>
      <c r="L90" s="201" t="s">
        <v>334</v>
      </c>
      <c r="M90" s="201" t="s">
        <v>1342</v>
      </c>
      <c r="N90" s="201" t="s">
        <v>335</v>
      </c>
      <c r="O90" s="86"/>
      <c r="P90" s="86"/>
    </row>
    <row r="91" spans="1:16" s="76" customFormat="1" ht="20.100000000000001" customHeight="1" x14ac:dyDescent="0.2">
      <c r="A91" s="86"/>
      <c r="B91" s="118" t="s">
        <v>561</v>
      </c>
      <c r="C91" s="118"/>
      <c r="D91" s="186" t="s">
        <v>712</v>
      </c>
      <c r="E91" s="186" t="s">
        <v>728</v>
      </c>
      <c r="F91" s="186" t="s">
        <v>1066</v>
      </c>
      <c r="G91" s="186" t="s">
        <v>1101</v>
      </c>
      <c r="H91" s="186" t="s">
        <v>50</v>
      </c>
      <c r="I91" s="186" t="s">
        <v>728</v>
      </c>
      <c r="J91" s="186" t="s">
        <v>1333</v>
      </c>
      <c r="K91" s="186" t="s">
        <v>322</v>
      </c>
      <c r="L91" s="186" t="s">
        <v>323</v>
      </c>
      <c r="M91" s="186" t="s">
        <v>66</v>
      </c>
      <c r="N91" s="186" t="s">
        <v>324</v>
      </c>
      <c r="O91" s="86"/>
      <c r="P91" s="86"/>
    </row>
    <row r="92" spans="1:16" s="76" customFormat="1" ht="20.100000000000001" customHeight="1" x14ac:dyDescent="0.2">
      <c r="A92" s="86"/>
      <c r="B92" s="204" t="s">
        <v>537</v>
      </c>
      <c r="C92" s="204"/>
      <c r="D92" s="205" t="s">
        <v>723</v>
      </c>
      <c r="E92" s="205" t="s">
        <v>754</v>
      </c>
      <c r="F92" s="205" t="s">
        <v>1071</v>
      </c>
      <c r="G92" s="205" t="s">
        <v>1104</v>
      </c>
      <c r="H92" s="205" t="s">
        <v>1104</v>
      </c>
      <c r="I92" s="205" t="s">
        <v>62</v>
      </c>
      <c r="J92" s="205" t="s">
        <v>316</v>
      </c>
      <c r="K92" s="205" t="s">
        <v>1222</v>
      </c>
      <c r="L92" s="205" t="s">
        <v>1327</v>
      </c>
      <c r="M92" s="205" t="s">
        <v>1245</v>
      </c>
      <c r="N92" s="205" t="s">
        <v>336</v>
      </c>
      <c r="O92" s="86"/>
      <c r="P92" s="86"/>
    </row>
    <row r="93" spans="1:16" s="76" customFormat="1" ht="15" customHeight="1" x14ac:dyDescent="0.2">
      <c r="A93" s="86"/>
      <c r="B93" s="86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86"/>
      <c r="P93" s="86"/>
    </row>
    <row r="94" spans="1:16" ht="20.100000000000001" hidden="1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</row>
    <row r="95" spans="1:16" ht="20.100000000000001" hidden="1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</row>
    <row r="96" spans="1:16" ht="20.100000000000001" hidden="1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</row>
    <row r="97" spans="3:14" ht="20.100000000000001" hidden="1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</row>
    <row r="98" spans="3:14" ht="20.100000000000001" hidden="1" customHeight="1" x14ac:dyDescent="0.2"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</row>
    <row r="99" spans="3:14" ht="20.100000000000001" hidden="1" customHeight="1" x14ac:dyDescent="0.2"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</row>
    <row r="100" spans="3:14" ht="20.100000000000001" hidden="1" customHeight="1" x14ac:dyDescent="0.2"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</row>
    <row r="101" spans="3:14" ht="20.100000000000001" hidden="1" customHeight="1" x14ac:dyDescent="0.2"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</row>
    <row r="102" spans="3:14" ht="20.100000000000001" hidden="1" customHeight="1" x14ac:dyDescent="0.2"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</row>
    <row r="103" spans="3:14" ht="20.100000000000001" hidden="1" customHeight="1" x14ac:dyDescent="0.2"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</row>
    <row r="104" spans="3:14" ht="20.100000000000001" hidden="1" customHeight="1" x14ac:dyDescent="0.2"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</row>
    <row r="105" spans="3:14" ht="20.100000000000001" hidden="1" customHeight="1" x14ac:dyDescent="0.2"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</row>
    <row r="106" spans="3:14" ht="20.100000000000001" hidden="1" customHeight="1" x14ac:dyDescent="0.2"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</row>
    <row r="107" spans="3:14" ht="20.100000000000001" hidden="1" customHeight="1" x14ac:dyDescent="0.2"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</row>
    <row r="108" spans="3:14" ht="20.100000000000001" hidden="1" customHeight="1" x14ac:dyDescent="0.2">
      <c r="C108" s="206"/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6"/>
    </row>
  </sheetData>
  <sheetProtection algorithmName="SHA-512" hashValue="fxqKFWgtOf+5sgMv/WTZEQECkHTpH6NRscu0gH8Z+S7jrJkhLoHK+JRS66Jns8CoS1sP+jV1/HtpOVDCMlVW4A==" saltValue="KgQ3C0LbcJonBkqdRez5uQ==" spinCount="100000" sheet="1" objects="1" scenarios="1"/>
  <sortState ref="B87:N92">
    <sortCondition ref="B87"/>
  </sortState>
  <mergeCells count="69">
    <mergeCell ref="D71:I71"/>
    <mergeCell ref="J71:N71"/>
    <mergeCell ref="B72:C72"/>
    <mergeCell ref="B73:C73"/>
    <mergeCell ref="J86:N86"/>
    <mergeCell ref="B74:C74"/>
    <mergeCell ref="B75:C75"/>
    <mergeCell ref="B76:C76"/>
    <mergeCell ref="B77:C77"/>
    <mergeCell ref="B78:C78"/>
    <mergeCell ref="B82:C82"/>
    <mergeCell ref="D86:I86"/>
    <mergeCell ref="B79:C79"/>
    <mergeCell ref="B80:C80"/>
    <mergeCell ref="B81:C81"/>
    <mergeCell ref="J34:N34"/>
    <mergeCell ref="B56:C56"/>
    <mergeCell ref="B57:C57"/>
    <mergeCell ref="B58:C58"/>
    <mergeCell ref="B63:C63"/>
    <mergeCell ref="B51:C51"/>
    <mergeCell ref="B52:C52"/>
    <mergeCell ref="B53:C53"/>
    <mergeCell ref="B54:C54"/>
    <mergeCell ref="B55:C55"/>
    <mergeCell ref="B46:C46"/>
    <mergeCell ref="B45:C45"/>
    <mergeCell ref="J62:N62"/>
    <mergeCell ref="B44:C44"/>
    <mergeCell ref="B65:C65"/>
    <mergeCell ref="B66:C66"/>
    <mergeCell ref="B67:C67"/>
    <mergeCell ref="D34:I34"/>
    <mergeCell ref="B64:C64"/>
    <mergeCell ref="D62:I62"/>
    <mergeCell ref="B38:C38"/>
    <mergeCell ref="B39:C39"/>
    <mergeCell ref="B40:C40"/>
    <mergeCell ref="B47:C47"/>
    <mergeCell ref="B48:C48"/>
    <mergeCell ref="B49:C49"/>
    <mergeCell ref="B50:C50"/>
    <mergeCell ref="B41:C41"/>
    <mergeCell ref="B42:C42"/>
    <mergeCell ref="B43:C43"/>
    <mergeCell ref="B23:C23"/>
    <mergeCell ref="B22:C22"/>
    <mergeCell ref="B21:C21"/>
    <mergeCell ref="B36:C36"/>
    <mergeCell ref="B37:C37"/>
    <mergeCell ref="B35:C35"/>
    <mergeCell ref="B25:C25"/>
    <mergeCell ref="B24:C24"/>
    <mergeCell ref="D6:L6"/>
    <mergeCell ref="B17:C17"/>
    <mergeCell ref="B18:C18"/>
    <mergeCell ref="B30:C30"/>
    <mergeCell ref="B29:C29"/>
    <mergeCell ref="B28:C28"/>
    <mergeCell ref="B27:C27"/>
    <mergeCell ref="B26:C26"/>
    <mergeCell ref="D10:I10"/>
    <mergeCell ref="J10:N10"/>
    <mergeCell ref="B11:C11"/>
    <mergeCell ref="B12:C12"/>
    <mergeCell ref="D16:I16"/>
    <mergeCell ref="J16:N16"/>
    <mergeCell ref="B20:C20"/>
    <mergeCell ref="B19:C19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64" fitToHeight="2" orientation="portrait" cellComments="atEnd" horizontalDpi="360" verticalDpi="360" r:id="rId1"/>
  <headerFooter alignWithMargins="0"/>
  <rowBreaks count="1" manualBreakCount="1">
    <brk id="58" min="1" max="13" man="1"/>
  </rowBreaks>
  <ignoredErrors>
    <ignoredError sqref="L11" twoDigitTextYear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>
    <pageSetUpPr fitToPage="1"/>
  </sheetPr>
  <dimension ref="A1:X44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A6" s="27"/>
      <c r="B6" s="27"/>
      <c r="C6" s="27"/>
      <c r="D6" s="27"/>
      <c r="E6" s="688" t="s">
        <v>1849</v>
      </c>
      <c r="F6" s="688"/>
      <c r="G6" s="688"/>
      <c r="H6" s="688"/>
      <c r="I6" s="688"/>
      <c r="J6" s="688"/>
      <c r="K6" s="688"/>
      <c r="L6" s="688"/>
    </row>
    <row r="7" spans="1:24" ht="15" customHeight="1" x14ac:dyDescent="0.2">
      <c r="A7" s="27"/>
      <c r="B7" s="27"/>
      <c r="C7" s="27"/>
      <c r="D7" s="27"/>
      <c r="E7" s="232"/>
      <c r="F7" s="232"/>
      <c r="G7" s="232"/>
      <c r="H7" s="232"/>
      <c r="I7" s="232"/>
      <c r="J7" s="232"/>
      <c r="K7" s="232"/>
      <c r="L7" s="232"/>
    </row>
    <row r="8" spans="1:24" ht="15" customHeight="1" x14ac:dyDescent="0.2">
      <c r="C8" s="27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4" ht="15" customHeight="1" x14ac:dyDescent="0.2">
      <c r="C9" s="27"/>
      <c r="D9" s="27"/>
      <c r="E9" s="27"/>
      <c r="F9" s="27"/>
      <c r="G9" s="27"/>
      <c r="H9" s="27"/>
      <c r="I9" s="27"/>
    </row>
    <row r="10" spans="1:24" ht="15" customHeight="1" x14ac:dyDescent="0.2">
      <c r="D10" s="49" t="s">
        <v>656</v>
      </c>
      <c r="E10" s="213"/>
      <c r="G10" s="5">
        <v>40</v>
      </c>
      <c r="H10" s="5">
        <v>40</v>
      </c>
      <c r="I10" s="5">
        <v>40</v>
      </c>
    </row>
    <row r="11" spans="1:24" ht="15" customHeight="1" x14ac:dyDescent="0.2">
      <c r="D11" s="34"/>
      <c r="E11" s="34"/>
      <c r="F11" s="34"/>
      <c r="G11" s="34"/>
    </row>
    <row r="12" spans="1:24" ht="15" customHeight="1" x14ac:dyDescent="0.2">
      <c r="D12" s="281" t="s">
        <v>338</v>
      </c>
      <c r="F12" s="317" t="s">
        <v>657</v>
      </c>
      <c r="G12" s="5">
        <v>2</v>
      </c>
      <c r="H12" s="273" t="s">
        <v>278</v>
      </c>
    </row>
    <row r="13" spans="1:24" ht="15" customHeight="1" x14ac:dyDescent="0.2">
      <c r="D13" s="275"/>
      <c r="F13" s="317" t="s">
        <v>658</v>
      </c>
      <c r="G13" s="5">
        <v>90</v>
      </c>
      <c r="H13" s="273" t="s">
        <v>278</v>
      </c>
    </row>
    <row r="14" spans="1:24" ht="15" customHeight="1" x14ac:dyDescent="0.2">
      <c r="D14" s="275"/>
      <c r="F14" s="317" t="s">
        <v>1851</v>
      </c>
      <c r="G14" s="5">
        <v>2</v>
      </c>
      <c r="H14" s="273" t="s">
        <v>341</v>
      </c>
      <c r="W14" s="256">
        <f>(G10*H10*I10)/1000</f>
        <v>64</v>
      </c>
      <c r="X14" s="49" t="s">
        <v>662</v>
      </c>
    </row>
    <row r="15" spans="1:24" ht="15" customHeight="1" x14ac:dyDescent="0.2">
      <c r="D15" s="275"/>
      <c r="F15" s="317" t="s">
        <v>562</v>
      </c>
      <c r="G15" s="237">
        <v>30</v>
      </c>
      <c r="H15" s="49" t="s">
        <v>341</v>
      </c>
      <c r="O15" s="49"/>
      <c r="W15" s="256">
        <f>IF(G14&lt;1,15,IF(AND(G14&gt;=1,G14&lt;3),10,IF(AND(G14&gt;=3,G14&lt;5),7,5)))</f>
        <v>10</v>
      </c>
      <c r="X15" s="49" t="s">
        <v>667</v>
      </c>
    </row>
    <row r="16" spans="1:24" ht="15" customHeight="1" x14ac:dyDescent="0.3">
      <c r="D16" s="275"/>
      <c r="F16" s="317" t="s">
        <v>564</v>
      </c>
      <c r="G16" s="5">
        <v>7</v>
      </c>
      <c r="H16" s="49" t="s">
        <v>1784</v>
      </c>
      <c r="O16" s="49"/>
      <c r="W16" s="350">
        <f>((((80-G12)/0.2)*W14)/1000)*2.3*5</f>
        <v>287.03999999999996</v>
      </c>
      <c r="X16" s="49" t="s">
        <v>664</v>
      </c>
    </row>
    <row r="17" spans="4:24" ht="15" customHeight="1" x14ac:dyDescent="0.2">
      <c r="D17" s="275"/>
      <c r="E17" s="27"/>
      <c r="F17" s="317"/>
      <c r="G17" s="208"/>
      <c r="H17" s="26"/>
      <c r="I17" s="27"/>
      <c r="J17" s="27"/>
      <c r="K17" s="27"/>
      <c r="L17" s="27"/>
      <c r="M17" s="27"/>
      <c r="O17" s="49"/>
      <c r="W17" s="310">
        <f>IF(W16&gt;0,W16,0)</f>
        <v>287.03999999999996</v>
      </c>
      <c r="X17" s="266" t="s">
        <v>799</v>
      </c>
    </row>
    <row r="18" spans="4:24" ht="15" customHeight="1" x14ac:dyDescent="0.2">
      <c r="D18" s="34"/>
      <c r="F18" s="317" t="s">
        <v>565</v>
      </c>
      <c r="G18" s="237">
        <v>90</v>
      </c>
      <c r="H18" s="49" t="s">
        <v>563</v>
      </c>
      <c r="W18" s="353">
        <f>((80-G15)*G16)/G18</f>
        <v>3.8888888888888888</v>
      </c>
      <c r="X18" s="49" t="s">
        <v>665</v>
      </c>
    </row>
    <row r="19" spans="4:24" ht="15" customHeight="1" x14ac:dyDescent="0.2">
      <c r="D19" s="34"/>
      <c r="F19" s="317"/>
      <c r="G19" s="263"/>
      <c r="H19" s="290"/>
      <c r="W19" s="350">
        <f>(W18/2)*W14</f>
        <v>124.44444444444444</v>
      </c>
      <c r="X19" s="49" t="s">
        <v>666</v>
      </c>
    </row>
    <row r="20" spans="4:24" ht="15" customHeight="1" x14ac:dyDescent="0.2">
      <c r="D20" s="169" t="s">
        <v>668</v>
      </c>
      <c r="F20" s="257">
        <f>W15</f>
        <v>10</v>
      </c>
      <c r="G20" s="266" t="s">
        <v>663</v>
      </c>
      <c r="O20" s="49"/>
      <c r="W20" s="350">
        <f>IF(W19&gt;0,W19,0)</f>
        <v>124.44444444444444</v>
      </c>
      <c r="X20" s="49" t="s">
        <v>800</v>
      </c>
    </row>
    <row r="21" spans="4:24" ht="15" customHeight="1" x14ac:dyDescent="0.2">
      <c r="F21" s="276">
        <f>W17</f>
        <v>287.03999999999996</v>
      </c>
      <c r="G21" s="266" t="s">
        <v>659</v>
      </c>
      <c r="O21" s="49"/>
    </row>
    <row r="22" spans="4:24" ht="15" customHeight="1" x14ac:dyDescent="0.2">
      <c r="F22" s="276">
        <f>W20</f>
        <v>124.44444444444444</v>
      </c>
      <c r="G22" s="266" t="s">
        <v>660</v>
      </c>
      <c r="O22" s="49"/>
    </row>
    <row r="23" spans="4:24" ht="15" customHeight="1" x14ac:dyDescent="0.2">
      <c r="F23" s="257">
        <v>20</v>
      </c>
      <c r="G23" s="266" t="s">
        <v>661</v>
      </c>
      <c r="W23" s="396">
        <f>((70-G15)*G16)/G18</f>
        <v>3.1111111111111112</v>
      </c>
      <c r="X23" s="266" t="s">
        <v>1129</v>
      </c>
    </row>
    <row r="24" spans="4:24" ht="15" customHeight="1" x14ac:dyDescent="0.2">
      <c r="E24" s="257"/>
    </row>
    <row r="25" spans="4:24" ht="15" customHeight="1" x14ac:dyDescent="0.2">
      <c r="D25" s="169" t="s">
        <v>573</v>
      </c>
      <c r="E25" s="286">
        <f>IF(W23&gt;0,W23,0)</f>
        <v>3.1111111111111112</v>
      </c>
      <c r="F25" s="266" t="s">
        <v>1143</v>
      </c>
    </row>
    <row r="26" spans="4:24" ht="15" customHeight="1" x14ac:dyDescent="0.2"/>
    <row r="27" spans="4:24" ht="15" customHeight="1" x14ac:dyDescent="0.2">
      <c r="D27" s="219" t="s">
        <v>1677</v>
      </c>
      <c r="N27" s="49"/>
    </row>
    <row r="28" spans="4:24" ht="15" customHeight="1" x14ac:dyDescent="0.2">
      <c r="G28" s="316" t="s">
        <v>1678</v>
      </c>
      <c r="H28" s="257" t="str">
        <f>IF(G13&lt;60,"20-00-20",IF(AND(G13&gt;=60,G13&lt;120),"20-00-15",IF(AND(G13&gt;=120,G13&lt;220),"20-00-10","Sulfato de Amônio")))</f>
        <v>20-00-15</v>
      </c>
      <c r="K28" s="49"/>
      <c r="L28" s="49"/>
      <c r="M28" s="49"/>
      <c r="O28" s="49"/>
    </row>
    <row r="29" spans="4:24" ht="15" customHeight="1" x14ac:dyDescent="0.2">
      <c r="G29" s="316" t="s">
        <v>1679</v>
      </c>
      <c r="H29" s="257" t="str">
        <f>H28</f>
        <v>20-00-15</v>
      </c>
    </row>
    <row r="30" spans="4:24" ht="15" customHeight="1" x14ac:dyDescent="0.2">
      <c r="G30" s="316" t="s">
        <v>1680</v>
      </c>
      <c r="H30" s="257" t="str">
        <f>H28</f>
        <v>20-00-15</v>
      </c>
    </row>
    <row r="31" spans="4:24" ht="15" customHeight="1" x14ac:dyDescent="0.2"/>
    <row r="32" spans="4:24" ht="15" customHeight="1" x14ac:dyDescent="0.2">
      <c r="D32" s="169" t="s">
        <v>1144</v>
      </c>
    </row>
    <row r="33" spans="2:15" ht="15" customHeight="1" x14ac:dyDescent="0.2">
      <c r="D33" s="49" t="s">
        <v>1854</v>
      </c>
    </row>
    <row r="34" spans="2:15" ht="15" customHeight="1" x14ac:dyDescent="0.2">
      <c r="D34" s="49" t="s">
        <v>1853</v>
      </c>
    </row>
    <row r="35" spans="2:15" ht="15" customHeight="1" x14ac:dyDescent="0.2"/>
    <row r="36" spans="2:15" s="60" customFormat="1" ht="15" customHeight="1" x14ac:dyDescent="0.2"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O36" s="266"/>
    </row>
    <row r="37" spans="2:15" s="60" customFormat="1" ht="15" customHeight="1" x14ac:dyDescent="0.2">
      <c r="C37" s="296"/>
      <c r="D37" s="226" t="s">
        <v>891</v>
      </c>
      <c r="E37" s="771">
        <f ca="1">TODAY()</f>
        <v>45064</v>
      </c>
      <c r="F37" s="772"/>
      <c r="G37" s="296" t="s">
        <v>373</v>
      </c>
      <c r="H37" s="296"/>
      <c r="I37" s="296"/>
      <c r="J37" s="296"/>
      <c r="K37" s="296"/>
    </row>
    <row r="38" spans="2:15" s="60" customFormat="1" ht="15" customHeight="1" x14ac:dyDescent="0.2">
      <c r="C38" s="296"/>
      <c r="D38" s="267"/>
      <c r="E38" s="296"/>
      <c r="F38" s="296"/>
      <c r="G38" s="296"/>
      <c r="H38" s="296"/>
      <c r="I38" s="296"/>
      <c r="J38" s="296"/>
      <c r="K38" s="296"/>
    </row>
    <row r="39" spans="2:15" s="60" customFormat="1" ht="15" hidden="1" customHeight="1" x14ac:dyDescent="0.2">
      <c r="C39" s="296"/>
      <c r="D39" s="267"/>
      <c r="E39" s="296"/>
      <c r="F39" s="296"/>
      <c r="G39" s="296"/>
      <c r="I39" s="296"/>
      <c r="J39" s="296"/>
      <c r="K39" s="296"/>
    </row>
    <row r="40" spans="2:15" s="60" customFormat="1" ht="15" hidden="1" customHeight="1" x14ac:dyDescent="0.2">
      <c r="C40" s="296"/>
      <c r="D40" s="267"/>
      <c r="E40" s="296"/>
      <c r="F40" s="296"/>
      <c r="G40" s="296"/>
      <c r="H40" s="296"/>
      <c r="I40" s="296"/>
      <c r="J40" s="296"/>
      <c r="K40" s="296"/>
    </row>
    <row r="41" spans="2:15" ht="15" hidden="1" customHeight="1" x14ac:dyDescent="0.2">
      <c r="B41" s="60"/>
      <c r="C41" s="296"/>
      <c r="D41" s="267"/>
      <c r="E41" s="296"/>
      <c r="F41" s="296"/>
      <c r="G41" s="296"/>
      <c r="H41" s="296"/>
      <c r="I41" s="296"/>
      <c r="J41" s="296"/>
      <c r="K41" s="296"/>
      <c r="L41" s="60"/>
      <c r="M41" s="60"/>
      <c r="O41" s="60"/>
    </row>
    <row r="42" spans="2:15" ht="15" hidden="1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</row>
    <row r="43" spans="2:15" s="60" customFormat="1" ht="15" hidden="1" customHeight="1" x14ac:dyDescent="0.2"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O43" s="266"/>
    </row>
    <row r="44" spans="2:15" ht="15" hidden="1" customHeight="1" x14ac:dyDescent="0.2">
      <c r="B44" s="60"/>
      <c r="C44" s="60"/>
      <c r="D44" s="267"/>
      <c r="E44" s="60"/>
      <c r="F44" s="60"/>
      <c r="G44" s="60"/>
      <c r="H44" s="60"/>
      <c r="J44" s="60"/>
      <c r="K44" s="60"/>
      <c r="L44" s="60"/>
      <c r="M44" s="60"/>
      <c r="O44" s="60"/>
    </row>
  </sheetData>
  <sheetProtection algorithmName="SHA-512" hashValue="1Rw5uZF2ac8E6b6mBaD2OShWuQizcQSNQEqhuvb+yt7zC2H298qXD6/+QtcK1Xe1W3JzmmLpcoacgMSEtGpkIw==" saltValue="jm9x88D2rdfsRAvD9PeM/g==" spinCount="100000" sheet="1" objects="1" scenarios="1" selectLockedCells="1"/>
  <mergeCells count="3">
    <mergeCell ref="E6:L6"/>
    <mergeCell ref="E8:M8"/>
    <mergeCell ref="E37:F3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>
    <pageSetUpPr fitToPage="1"/>
  </sheetPr>
  <dimension ref="A1:Y44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S3" s="20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S4" s="207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27"/>
      <c r="D6" s="27"/>
      <c r="E6" s="688" t="s">
        <v>1849</v>
      </c>
      <c r="F6" s="688"/>
      <c r="G6" s="688"/>
      <c r="H6" s="688"/>
      <c r="I6" s="688"/>
      <c r="J6" s="688"/>
      <c r="K6" s="688"/>
      <c r="L6" s="688"/>
      <c r="M6" s="27"/>
      <c r="N6" s="27"/>
      <c r="O6" s="27"/>
    </row>
    <row r="7" spans="1:25" ht="15" customHeight="1" x14ac:dyDescent="0.2">
      <c r="C7" s="27"/>
      <c r="D7" s="27"/>
      <c r="E7" s="232"/>
      <c r="F7" s="232"/>
      <c r="G7" s="232"/>
      <c r="H7" s="232"/>
      <c r="I7" s="232"/>
      <c r="J7" s="232"/>
      <c r="K7" s="232"/>
      <c r="L7" s="232"/>
      <c r="M7" s="27"/>
      <c r="N7" s="27"/>
      <c r="O7" s="27"/>
    </row>
    <row r="8" spans="1:25" ht="15" customHeight="1" x14ac:dyDescent="0.2">
      <c r="C8" s="27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N8" s="27"/>
      <c r="O8" s="27"/>
    </row>
    <row r="9" spans="1:25" ht="15" customHeight="1" x14ac:dyDescent="0.2">
      <c r="C9" s="27"/>
      <c r="D9" s="27"/>
      <c r="E9" s="27"/>
      <c r="F9" s="27"/>
      <c r="G9" s="27"/>
      <c r="H9" s="27"/>
      <c r="I9" s="27"/>
    </row>
    <row r="10" spans="1:25" ht="15" customHeight="1" x14ac:dyDescent="0.2">
      <c r="D10" s="213" t="s">
        <v>656</v>
      </c>
      <c r="E10" s="213"/>
      <c r="G10" s="5">
        <v>40</v>
      </c>
      <c r="H10" s="5">
        <v>40</v>
      </c>
      <c r="I10" s="5">
        <v>40</v>
      </c>
    </row>
    <row r="11" spans="1:25" ht="15" customHeight="1" x14ac:dyDescent="0.2">
      <c r="D11" s="34"/>
      <c r="E11" s="34"/>
      <c r="F11" s="34"/>
      <c r="G11" s="34"/>
    </row>
    <row r="12" spans="1:25" ht="15" customHeight="1" x14ac:dyDescent="0.2">
      <c r="D12" s="281" t="s">
        <v>338</v>
      </c>
      <c r="F12" s="317" t="s">
        <v>657</v>
      </c>
      <c r="G12" s="5">
        <v>2</v>
      </c>
      <c r="H12" s="273" t="s">
        <v>278</v>
      </c>
    </row>
    <row r="13" spans="1:25" ht="15" customHeight="1" x14ac:dyDescent="0.2">
      <c r="D13" s="275"/>
      <c r="F13" s="317" t="s">
        <v>658</v>
      </c>
      <c r="G13" s="5">
        <v>90</v>
      </c>
      <c r="H13" s="273" t="s">
        <v>278</v>
      </c>
    </row>
    <row r="14" spans="1:25" ht="15" customHeight="1" x14ac:dyDescent="0.2">
      <c r="D14" s="275"/>
      <c r="F14" s="317" t="s">
        <v>1851</v>
      </c>
      <c r="G14" s="5">
        <v>2</v>
      </c>
      <c r="H14" s="273" t="s">
        <v>341</v>
      </c>
    </row>
    <row r="15" spans="1:25" ht="15" customHeight="1" x14ac:dyDescent="0.2">
      <c r="D15" s="275"/>
      <c r="F15" s="317" t="s">
        <v>562</v>
      </c>
      <c r="G15" s="237">
        <v>30</v>
      </c>
      <c r="H15" s="49" t="s">
        <v>341</v>
      </c>
      <c r="W15" s="256">
        <f>(G10*H10*I10)/1000</f>
        <v>64</v>
      </c>
      <c r="X15" s="49" t="s">
        <v>662</v>
      </c>
      <c r="Y15" s="49"/>
    </row>
    <row r="16" spans="1:25" ht="15" customHeight="1" x14ac:dyDescent="0.3">
      <c r="D16" s="275"/>
      <c r="F16" s="317" t="s">
        <v>564</v>
      </c>
      <c r="G16" s="5">
        <v>7</v>
      </c>
      <c r="H16" s="49" t="s">
        <v>1784</v>
      </c>
      <c r="W16" s="256">
        <f>IF(G14&lt;1,15,IF(AND(G14&gt;=1,G14&lt;3),10,IF(AND(G14&gt;=3,G14&lt;5),7,5)))</f>
        <v>10</v>
      </c>
      <c r="X16" s="49" t="s">
        <v>667</v>
      </c>
      <c r="Y16" s="49"/>
    </row>
    <row r="17" spans="3:25" ht="15" customHeight="1" x14ac:dyDescent="0.2">
      <c r="C17" s="27"/>
      <c r="D17" s="275"/>
      <c r="E17" s="27"/>
      <c r="F17" s="317"/>
      <c r="G17" s="208"/>
      <c r="H17" s="26"/>
      <c r="I17" s="27"/>
      <c r="J17" s="27"/>
      <c r="K17" s="27"/>
      <c r="L17" s="27"/>
      <c r="M17" s="27"/>
      <c r="W17" s="350">
        <f>((((80-G12)/0.2)*W15)/1000)*2.3*5</f>
        <v>287.03999999999996</v>
      </c>
      <c r="X17" s="49" t="s">
        <v>664</v>
      </c>
      <c r="Y17" s="49"/>
    </row>
    <row r="18" spans="3:25" ht="15" customHeight="1" x14ac:dyDescent="0.2">
      <c r="D18" s="275"/>
      <c r="F18" s="317" t="s">
        <v>565</v>
      </c>
      <c r="G18" s="237">
        <v>90</v>
      </c>
      <c r="H18" s="49" t="s">
        <v>341</v>
      </c>
      <c r="W18" s="310">
        <f>IF(W17&gt;0,W17,0)</f>
        <v>287.03999999999996</v>
      </c>
      <c r="X18" s="266" t="s">
        <v>799</v>
      </c>
    </row>
    <row r="19" spans="3:25" ht="15" customHeight="1" x14ac:dyDescent="0.2">
      <c r="D19" s="34"/>
      <c r="E19" s="34"/>
      <c r="F19" s="34"/>
      <c r="G19" s="34"/>
      <c r="W19" s="353">
        <f>((80-G15)*G16)/G18</f>
        <v>3.8888888888888888</v>
      </c>
      <c r="X19" s="49" t="s">
        <v>665</v>
      </c>
      <c r="Y19" s="49"/>
    </row>
    <row r="20" spans="3:25" ht="15" customHeight="1" x14ac:dyDescent="0.2">
      <c r="D20" s="169" t="s">
        <v>668</v>
      </c>
      <c r="F20" s="257">
        <f>W16</f>
        <v>10</v>
      </c>
      <c r="G20" s="266" t="s">
        <v>663</v>
      </c>
      <c r="W20" s="350">
        <f>(W19/2)*W15</f>
        <v>124.44444444444444</v>
      </c>
      <c r="X20" s="49" t="s">
        <v>666</v>
      </c>
      <c r="Y20" s="49"/>
    </row>
    <row r="21" spans="3:25" ht="15" customHeight="1" x14ac:dyDescent="0.2">
      <c r="F21" s="276">
        <f>W18</f>
        <v>287.03999999999996</v>
      </c>
      <c r="G21" s="266" t="s">
        <v>659</v>
      </c>
      <c r="W21" s="350">
        <f>IF(W20&gt;0,W20,0)</f>
        <v>124.44444444444444</v>
      </c>
      <c r="X21" s="49" t="s">
        <v>800</v>
      </c>
      <c r="Y21" s="49"/>
    </row>
    <row r="22" spans="3:25" ht="15" customHeight="1" x14ac:dyDescent="0.2">
      <c r="F22" s="276">
        <f>W21</f>
        <v>124.44444444444444</v>
      </c>
      <c r="G22" s="266" t="s">
        <v>660</v>
      </c>
    </row>
    <row r="23" spans="3:25" ht="15" customHeight="1" x14ac:dyDescent="0.2">
      <c r="F23" s="257">
        <v>20</v>
      </c>
      <c r="G23" s="266" t="s">
        <v>661</v>
      </c>
      <c r="W23" s="396">
        <f>((70-G15)*G16)/G18</f>
        <v>3.1111111111111112</v>
      </c>
      <c r="X23" s="266" t="s">
        <v>1129</v>
      </c>
    </row>
    <row r="24" spans="3:25" ht="15" customHeight="1" x14ac:dyDescent="0.2">
      <c r="E24" s="257"/>
    </row>
    <row r="25" spans="3:25" ht="15" customHeight="1" x14ac:dyDescent="0.2">
      <c r="D25" s="169" t="s">
        <v>573</v>
      </c>
      <c r="E25" s="286">
        <f>IF(W23&gt;0,W23,0)</f>
        <v>3.1111111111111112</v>
      </c>
      <c r="F25" s="266" t="s">
        <v>1143</v>
      </c>
    </row>
    <row r="26" spans="3:25" ht="15" customHeight="1" x14ac:dyDescent="0.2"/>
    <row r="27" spans="3:25" ht="15" customHeight="1" x14ac:dyDescent="0.2">
      <c r="D27" s="219" t="s">
        <v>1677</v>
      </c>
      <c r="O27" s="49"/>
      <c r="P27" s="49"/>
      <c r="Q27" s="49"/>
    </row>
    <row r="28" spans="3:25" ht="15" customHeight="1" x14ac:dyDescent="0.2">
      <c r="G28" s="316" t="s">
        <v>1681</v>
      </c>
      <c r="H28" s="257" t="str">
        <f>IF(G13&lt;60,"20-00-20",IF(AND(G13&gt;=60,G13&lt;120),"20-00-15",IF(AND(G13&gt;=120,G13&lt;220),"20-00-10","Sulfato de Amônio")))</f>
        <v>20-00-15</v>
      </c>
    </row>
    <row r="29" spans="3:25" ht="15" customHeight="1" x14ac:dyDescent="0.2">
      <c r="G29" s="316" t="s">
        <v>1682</v>
      </c>
      <c r="H29" s="257" t="str">
        <f>H28</f>
        <v>20-00-15</v>
      </c>
    </row>
    <row r="30" spans="3:25" ht="15" customHeight="1" x14ac:dyDescent="0.2">
      <c r="G30" s="316" t="s">
        <v>1683</v>
      </c>
      <c r="H30" s="257" t="str">
        <f>H28</f>
        <v>20-00-15</v>
      </c>
    </row>
    <row r="31" spans="3:25" ht="15" customHeight="1" x14ac:dyDescent="0.2"/>
    <row r="32" spans="3:25" ht="15" customHeight="1" x14ac:dyDescent="0.2">
      <c r="D32" s="169" t="s">
        <v>1144</v>
      </c>
    </row>
    <row r="33" spans="3:15" ht="15" customHeight="1" x14ac:dyDescent="0.2">
      <c r="D33" s="49" t="s">
        <v>1854</v>
      </c>
    </row>
    <row r="34" spans="3:15" ht="15" customHeight="1" x14ac:dyDescent="0.2">
      <c r="D34" s="49" t="s">
        <v>1853</v>
      </c>
    </row>
    <row r="35" spans="3:15" ht="15" customHeight="1" x14ac:dyDescent="0.2"/>
    <row r="36" spans="3:15" s="60" customFormat="1" ht="15" customHeight="1" x14ac:dyDescent="0.2"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96"/>
      <c r="O36" s="296"/>
    </row>
    <row r="37" spans="3:15" s="60" customFormat="1" ht="15" customHeight="1" x14ac:dyDescent="0.2">
      <c r="C37" s="296"/>
      <c r="D37" s="226" t="s">
        <v>891</v>
      </c>
      <c r="E37" s="771">
        <f ca="1">TODAY()</f>
        <v>45064</v>
      </c>
      <c r="F37" s="772"/>
      <c r="G37" s="296" t="s">
        <v>373</v>
      </c>
      <c r="H37" s="296"/>
      <c r="I37" s="296"/>
      <c r="J37" s="296"/>
      <c r="K37" s="296"/>
      <c r="L37" s="296"/>
      <c r="M37" s="296"/>
      <c r="N37" s="296"/>
      <c r="O37" s="296"/>
    </row>
    <row r="38" spans="3:15" s="60" customFormat="1" ht="15" customHeight="1" x14ac:dyDescent="0.2">
      <c r="C38" s="296"/>
      <c r="D38" s="267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</row>
    <row r="39" spans="3:15" s="60" customFormat="1" ht="15" hidden="1" customHeight="1" x14ac:dyDescent="0.2">
      <c r="C39" s="296"/>
      <c r="D39" s="267"/>
      <c r="E39" s="296"/>
      <c r="F39" s="296"/>
      <c r="G39" s="296"/>
      <c r="I39" s="296"/>
      <c r="J39" s="296"/>
      <c r="K39" s="296"/>
      <c r="L39" s="296"/>
      <c r="M39" s="296"/>
      <c r="N39" s="296"/>
      <c r="O39" s="296"/>
    </row>
    <row r="40" spans="3:15" s="60" customFormat="1" ht="15" hidden="1" customHeight="1" x14ac:dyDescent="0.2">
      <c r="C40" s="296"/>
      <c r="D40" s="267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</row>
    <row r="41" spans="3:15" ht="15" hidden="1" customHeight="1" x14ac:dyDescent="0.2">
      <c r="C41" s="296"/>
      <c r="D41" s="267"/>
      <c r="E41" s="296"/>
      <c r="F41" s="296"/>
      <c r="G41" s="296"/>
      <c r="H41" s="296"/>
      <c r="I41" s="296"/>
      <c r="J41" s="296"/>
      <c r="K41" s="296"/>
      <c r="L41" s="296"/>
      <c r="M41" s="296"/>
    </row>
    <row r="42" spans="3:15" ht="15" hidden="1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3:15" s="60" customFormat="1" ht="15" hidden="1" customHeight="1" x14ac:dyDescent="0.2"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</row>
    <row r="44" spans="3:15" ht="15" hidden="1" customHeight="1" x14ac:dyDescent="0.2">
      <c r="C44" s="60"/>
      <c r="D44" s="267"/>
      <c r="E44" s="60"/>
      <c r="F44" s="60"/>
      <c r="G44" s="60"/>
      <c r="H44" s="60"/>
      <c r="I44" s="60"/>
      <c r="J44" s="60"/>
      <c r="K44" s="60"/>
      <c r="L44" s="60"/>
      <c r="M44" s="60"/>
    </row>
  </sheetData>
  <sheetProtection algorithmName="SHA-512" hashValue="BWMYeF4OrHN6cUf+fo+cEq8Kc4M0Wz1PeHzj+DSLc/GlF60LTw4YDUlGjwqG+soPUfXxdRi12Wf8f3plP57uwg==" saltValue="cTk3jeP7WBmf9zt/GneTaA==" spinCount="100000" sheet="1" objects="1" scenarios="1" selectLockedCells="1"/>
  <mergeCells count="3">
    <mergeCell ref="E6:L6"/>
    <mergeCell ref="E8:M8"/>
    <mergeCell ref="E37:F3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>
    <pageSetUpPr fitToPage="1"/>
  </sheetPr>
  <dimension ref="A1:X4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C6" s="27"/>
      <c r="D6" s="27"/>
      <c r="E6" s="688" t="s">
        <v>1849</v>
      </c>
      <c r="F6" s="688"/>
      <c r="G6" s="688"/>
      <c r="H6" s="688"/>
      <c r="I6" s="688"/>
      <c r="J6" s="688"/>
      <c r="K6" s="688"/>
      <c r="L6" s="688"/>
      <c r="M6" s="27"/>
      <c r="N6" s="27"/>
      <c r="O6" s="27"/>
    </row>
    <row r="7" spans="1:24" ht="15" customHeight="1" x14ac:dyDescent="0.2">
      <c r="C7" s="27"/>
      <c r="D7" s="27"/>
      <c r="E7" s="27"/>
      <c r="F7" s="27"/>
      <c r="G7" s="27"/>
      <c r="H7" s="27"/>
      <c r="I7" s="27"/>
      <c r="J7" s="27"/>
      <c r="K7" s="27"/>
    </row>
    <row r="8" spans="1:24" ht="15" customHeight="1" x14ac:dyDescent="0.2">
      <c r="C8" s="27"/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4" ht="15" customHeight="1" x14ac:dyDescent="0.2"/>
    <row r="10" spans="1:24" ht="15" customHeight="1" x14ac:dyDescent="0.2">
      <c r="D10" s="213" t="s">
        <v>656</v>
      </c>
      <c r="E10" s="213"/>
      <c r="G10" s="5">
        <v>40</v>
      </c>
      <c r="H10" s="5">
        <v>40</v>
      </c>
      <c r="I10" s="5">
        <v>40</v>
      </c>
    </row>
    <row r="11" spans="1:24" ht="15" customHeight="1" x14ac:dyDescent="0.2">
      <c r="D11" s="34"/>
      <c r="E11" s="34"/>
      <c r="F11" s="34"/>
      <c r="G11" s="34"/>
    </row>
    <row r="12" spans="1:24" ht="15" customHeight="1" x14ac:dyDescent="0.2">
      <c r="D12" s="281" t="s">
        <v>338</v>
      </c>
      <c r="F12" s="317" t="s">
        <v>657</v>
      </c>
      <c r="G12" s="5">
        <v>4</v>
      </c>
      <c r="H12" s="273" t="s">
        <v>278</v>
      </c>
    </row>
    <row r="13" spans="1:24" ht="15" customHeight="1" x14ac:dyDescent="0.2">
      <c r="D13" s="275"/>
      <c r="F13" s="317" t="s">
        <v>658</v>
      </c>
      <c r="G13" s="5">
        <v>90</v>
      </c>
      <c r="H13" s="273" t="s">
        <v>278</v>
      </c>
    </row>
    <row r="14" spans="1:24" ht="15" customHeight="1" x14ac:dyDescent="0.2">
      <c r="D14" s="275"/>
      <c r="F14" s="317" t="s">
        <v>1851</v>
      </c>
      <c r="G14" s="5">
        <v>2</v>
      </c>
      <c r="H14" s="273" t="s">
        <v>341</v>
      </c>
    </row>
    <row r="15" spans="1:24" ht="15" customHeight="1" x14ac:dyDescent="0.2">
      <c r="D15" s="275"/>
      <c r="F15" s="317" t="s">
        <v>562</v>
      </c>
      <c r="G15" s="237">
        <v>20</v>
      </c>
      <c r="H15" s="49" t="s">
        <v>341</v>
      </c>
      <c r="M15" s="49"/>
      <c r="W15" s="256">
        <f>(G10*H10*I10)/1000</f>
        <v>64</v>
      </c>
      <c r="X15" s="49" t="s">
        <v>662</v>
      </c>
    </row>
    <row r="16" spans="1:24" ht="15" customHeight="1" x14ac:dyDescent="0.3">
      <c r="D16" s="275"/>
      <c r="F16" s="317" t="s">
        <v>564</v>
      </c>
      <c r="G16" s="5">
        <v>7</v>
      </c>
      <c r="H16" s="49" t="s">
        <v>1784</v>
      </c>
      <c r="M16" s="49"/>
      <c r="W16" s="256">
        <f>IF(G14&lt;1,15,IF(AND(G14&gt;=1,G14&lt;3),10,IF(AND(G14&gt;=3,G14&lt;5),7,5)))</f>
        <v>10</v>
      </c>
      <c r="X16" s="49" t="s">
        <v>667</v>
      </c>
    </row>
    <row r="17" spans="3:24" ht="15" customHeight="1" x14ac:dyDescent="0.2">
      <c r="C17" s="27"/>
      <c r="D17" s="275"/>
      <c r="E17" s="27"/>
      <c r="F17" s="317"/>
      <c r="G17" s="208"/>
      <c r="H17" s="26"/>
      <c r="I17" s="27"/>
      <c r="J17" s="27"/>
      <c r="K17" s="27"/>
      <c r="L17" s="27"/>
      <c r="M17" s="26"/>
      <c r="N17" s="27"/>
      <c r="W17" s="350">
        <f>((((80-G12)/0.2)*W15)/1000)*2.3*5</f>
        <v>279.67999999999995</v>
      </c>
      <c r="X17" s="49" t="s">
        <v>664</v>
      </c>
    </row>
    <row r="18" spans="3:24" ht="15" customHeight="1" x14ac:dyDescent="0.2">
      <c r="D18" s="275"/>
      <c r="F18" s="317" t="s">
        <v>565</v>
      </c>
      <c r="G18" s="237">
        <v>90</v>
      </c>
      <c r="H18" s="49" t="s">
        <v>341</v>
      </c>
      <c r="M18" s="49"/>
      <c r="W18" s="310">
        <f>IF(W17&gt;0,W17,0)</f>
        <v>279.67999999999995</v>
      </c>
      <c r="X18" s="266" t="s">
        <v>799</v>
      </c>
    </row>
    <row r="19" spans="3:24" ht="15" customHeight="1" x14ac:dyDescent="0.2">
      <c r="D19" s="34"/>
      <c r="E19" s="34"/>
      <c r="F19" s="34"/>
      <c r="G19" s="34"/>
      <c r="W19" s="353">
        <f>((80-G15)*G16)/G18</f>
        <v>4.666666666666667</v>
      </c>
      <c r="X19" s="49" t="s">
        <v>665</v>
      </c>
    </row>
    <row r="20" spans="3:24" ht="15" customHeight="1" x14ac:dyDescent="0.2">
      <c r="D20" s="169" t="s">
        <v>668</v>
      </c>
      <c r="F20" s="257">
        <f>W16</f>
        <v>10</v>
      </c>
      <c r="G20" s="266" t="s">
        <v>663</v>
      </c>
      <c r="M20" s="49"/>
      <c r="W20" s="350">
        <f>(W19/2)*W15</f>
        <v>149.33333333333334</v>
      </c>
      <c r="X20" s="49" t="s">
        <v>666</v>
      </c>
    </row>
    <row r="21" spans="3:24" ht="15" customHeight="1" x14ac:dyDescent="0.2">
      <c r="F21" s="276">
        <f>W18</f>
        <v>279.67999999999995</v>
      </c>
      <c r="G21" s="266" t="s">
        <v>659</v>
      </c>
      <c r="M21" s="49"/>
      <c r="W21" s="350">
        <f>IF(W20&gt;0,W20,0)</f>
        <v>149.33333333333334</v>
      </c>
      <c r="X21" s="49" t="s">
        <v>800</v>
      </c>
    </row>
    <row r="22" spans="3:24" ht="15" customHeight="1" x14ac:dyDescent="0.2">
      <c r="F22" s="276">
        <f>W21</f>
        <v>149.33333333333334</v>
      </c>
      <c r="G22" s="266" t="s">
        <v>660</v>
      </c>
      <c r="M22" s="49"/>
    </row>
    <row r="23" spans="3:24" ht="15" customHeight="1" x14ac:dyDescent="0.2">
      <c r="F23" s="257">
        <v>20</v>
      </c>
      <c r="G23" s="266" t="s">
        <v>661</v>
      </c>
    </row>
    <row r="24" spans="3:24" ht="15" customHeight="1" x14ac:dyDescent="0.2">
      <c r="E24" s="257"/>
      <c r="W24" s="396">
        <f>((70-G15)*G16)/G18</f>
        <v>3.8888888888888888</v>
      </c>
      <c r="X24" s="266" t="s">
        <v>1129</v>
      </c>
    </row>
    <row r="25" spans="3:24" ht="15" customHeight="1" x14ac:dyDescent="0.2">
      <c r="D25" s="169" t="s">
        <v>573</v>
      </c>
      <c r="E25" s="286">
        <f>IF(W24&gt;0,W24,0)</f>
        <v>3.8888888888888888</v>
      </c>
      <c r="F25" s="266" t="s">
        <v>1143</v>
      </c>
    </row>
    <row r="26" spans="3:24" ht="15" customHeight="1" x14ac:dyDescent="0.2"/>
    <row r="27" spans="3:24" ht="15" customHeight="1" x14ac:dyDescent="0.2">
      <c r="D27" s="219" t="s">
        <v>1677</v>
      </c>
      <c r="L27" s="170"/>
    </row>
    <row r="28" spans="3:24" ht="15" customHeight="1" x14ac:dyDescent="0.2">
      <c r="E28" s="170"/>
      <c r="G28" s="316" t="s">
        <v>2214</v>
      </c>
      <c r="H28" s="257" t="str">
        <f>IF(G13&lt;60,"20-00-20",IF(AND(G13&gt;=60,G13&lt;120),"20-00-15",IF(AND(G13&gt;=120,G13&lt;220),"20-00-10","Sulfato de Amônio")))</f>
        <v>20-00-15</v>
      </c>
      <c r="K28" s="49"/>
      <c r="L28" s="170"/>
      <c r="M28" s="49"/>
    </row>
    <row r="29" spans="3:24" ht="15" customHeight="1" x14ac:dyDescent="0.2">
      <c r="E29" s="170"/>
      <c r="G29" s="316" t="s">
        <v>2215</v>
      </c>
      <c r="H29" s="257" t="str">
        <f>H28</f>
        <v>20-00-15</v>
      </c>
      <c r="L29" s="170"/>
    </row>
    <row r="30" spans="3:24" ht="15" customHeight="1" x14ac:dyDescent="0.2">
      <c r="E30" s="170"/>
      <c r="G30" s="316" t="s">
        <v>2216</v>
      </c>
      <c r="H30" s="257" t="str">
        <f>H28</f>
        <v>20-00-15</v>
      </c>
    </row>
    <row r="31" spans="3:24" ht="15" customHeight="1" x14ac:dyDescent="0.2">
      <c r="H31" s="257"/>
    </row>
    <row r="32" spans="3:24" ht="15" customHeight="1" x14ac:dyDescent="0.2">
      <c r="D32" s="169" t="s">
        <v>1144</v>
      </c>
    </row>
    <row r="33" spans="1:14" ht="15" customHeight="1" x14ac:dyDescent="0.2">
      <c r="D33" s="49" t="s">
        <v>1854</v>
      </c>
    </row>
    <row r="34" spans="1:14" ht="15" customHeight="1" x14ac:dyDescent="0.2">
      <c r="D34" s="49" t="s">
        <v>1853</v>
      </c>
    </row>
    <row r="35" spans="1:14" ht="15" customHeight="1" x14ac:dyDescent="0.2"/>
    <row r="36" spans="1:14" s="60" customFormat="1" ht="15" customHeight="1" x14ac:dyDescent="0.2"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</row>
    <row r="37" spans="1:14" s="60" customFormat="1" ht="15" customHeight="1" x14ac:dyDescent="0.2">
      <c r="A37" s="296"/>
      <c r="B37" s="267"/>
      <c r="C37" s="296"/>
      <c r="D37" s="226" t="s">
        <v>891</v>
      </c>
      <c r="E37" s="771">
        <f ca="1">TODAY()</f>
        <v>45064</v>
      </c>
      <c r="F37" s="772"/>
      <c r="G37" s="296" t="s">
        <v>373</v>
      </c>
      <c r="H37" s="296"/>
      <c r="I37" s="296"/>
      <c r="J37" s="296"/>
      <c r="K37" s="296"/>
    </row>
    <row r="38" spans="1:14" s="60" customFormat="1" ht="15" customHeight="1" x14ac:dyDescent="0.2">
      <c r="A38" s="296"/>
      <c r="B38" s="267"/>
      <c r="C38" s="296"/>
      <c r="D38" s="296"/>
      <c r="E38" s="296"/>
      <c r="F38" s="296"/>
      <c r="G38" s="296"/>
      <c r="H38" s="296"/>
      <c r="I38" s="296"/>
    </row>
    <row r="39" spans="1:14" s="60" customFormat="1" ht="15" hidden="1" customHeight="1" x14ac:dyDescent="0.2">
      <c r="A39" s="296"/>
      <c r="B39" s="267"/>
      <c r="C39" s="296"/>
      <c r="D39" s="296"/>
      <c r="E39" s="296"/>
      <c r="G39" s="296"/>
      <c r="H39" s="296"/>
      <c r="I39" s="296"/>
    </row>
    <row r="40" spans="1:14" s="60" customFormat="1" ht="15" hidden="1" customHeight="1" x14ac:dyDescent="0.2">
      <c r="A40" s="296"/>
      <c r="B40" s="267"/>
      <c r="C40" s="296"/>
      <c r="D40" s="296"/>
      <c r="E40" s="296"/>
      <c r="F40" s="296"/>
      <c r="G40" s="296"/>
      <c r="H40" s="296"/>
      <c r="I40" s="296"/>
    </row>
    <row r="41" spans="1:14" ht="15" hidden="1" customHeight="1" x14ac:dyDescent="0.2">
      <c r="A41" s="27"/>
      <c r="B41" s="27"/>
      <c r="C41" s="296"/>
      <c r="D41" s="296"/>
      <c r="E41" s="296"/>
      <c r="F41" s="296"/>
      <c r="G41" s="296"/>
      <c r="H41" s="296"/>
      <c r="I41" s="296"/>
      <c r="J41" s="60"/>
      <c r="K41" s="60"/>
      <c r="L41" s="60"/>
      <c r="M41" s="60"/>
      <c r="N41" s="60"/>
    </row>
    <row r="42" spans="1:14" ht="15" hidden="1" customHeight="1" x14ac:dyDescent="0.2">
      <c r="C42" s="27"/>
      <c r="D42" s="27"/>
      <c r="E42" s="27"/>
      <c r="F42" s="27"/>
      <c r="G42" s="27"/>
      <c r="H42" s="27"/>
      <c r="I42" s="27"/>
    </row>
    <row r="43" spans="1:14" s="60" customFormat="1" ht="15" hidden="1" customHeight="1" x14ac:dyDescent="0.2">
      <c r="B43" s="267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</row>
    <row r="44" spans="1:14" ht="15" hidden="1" customHeight="1" x14ac:dyDescent="0.2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</row>
    <row r="45" spans="1:14" ht="15" customHeight="1" x14ac:dyDescent="0.2"/>
  </sheetData>
  <sheetProtection algorithmName="SHA-512" hashValue="TbB7nhC+kCKHgvQ7QsLN2F0mi4NAltRdbWDwXcbRzpnT+qjGTx1sMAUWstawyMxepixYMz07YfC8gX9kGeekQg==" saltValue="/4F/yYqSXN/yAWgjKrlOFg==" spinCount="100000" sheet="1" objects="1" scenarios="1" selectLockedCells="1"/>
  <mergeCells count="3">
    <mergeCell ref="E6:L6"/>
    <mergeCell ref="E8:M8"/>
    <mergeCell ref="E37:F3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P64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0" customHeight="1" zeroHeight="1" x14ac:dyDescent="0.2"/>
  <cols>
    <col min="1" max="16" width="9.140625" style="27" customWidth="1"/>
    <col min="17" max="16384" width="9.140625" style="27" hidden="1"/>
  </cols>
  <sheetData>
    <row r="1" spans="1:16" ht="24.95" customHeight="1" x14ac:dyDescent="0.2"/>
    <row r="2" spans="1:16" ht="24.95" customHeight="1" x14ac:dyDescent="0.2"/>
    <row r="3" spans="1:16" ht="24.95" customHeight="1" x14ac:dyDescent="0.2"/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thickBot="1" x14ac:dyDescent="0.25">
      <c r="C6" s="692" t="s">
        <v>1615</v>
      </c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</row>
    <row r="7" spans="1:16" ht="15" customHeight="1" thickTop="1" thickBot="1" x14ac:dyDescent="0.25">
      <c r="C7" s="233"/>
      <c r="D7" s="233"/>
      <c r="E7" s="233"/>
      <c r="F7" s="233"/>
      <c r="G7" s="233"/>
      <c r="H7" s="63" t="s">
        <v>2061</v>
      </c>
      <c r="I7" s="233"/>
      <c r="J7" s="233"/>
      <c r="K7" s="233"/>
      <c r="L7" s="233"/>
      <c r="M7" s="233"/>
      <c r="N7" s="233"/>
    </row>
    <row r="8" spans="1:16" ht="24.95" customHeight="1" thickTop="1" thickBot="1" x14ac:dyDescent="0.25">
      <c r="A8" s="64"/>
      <c r="C8" s="689" t="str">
        <f>HYPERLINK("#"&amp;"'Abacate'!h1","Abacate")</f>
        <v>Abacate</v>
      </c>
      <c r="D8" s="690"/>
      <c r="E8" s="691"/>
      <c r="F8" s="689" t="str">
        <f>HYPERLINK("#"&amp;"'Bucha'!h1","Bucha")</f>
        <v>Bucha</v>
      </c>
      <c r="G8" s="690"/>
      <c r="H8" s="691"/>
      <c r="I8" s="689" t="str">
        <f>HYPERLINK("#"&amp;"'Feijao'!h1","Feijão")</f>
        <v>Feijão</v>
      </c>
      <c r="J8" s="690"/>
      <c r="K8" s="691"/>
      <c r="L8" s="689" t="str">
        <f>HYPERLINK("#"&amp;"'Nectarina'!h1","Nectarina")</f>
        <v>Nectarina</v>
      </c>
      <c r="M8" s="690"/>
      <c r="N8" s="691"/>
    </row>
    <row r="9" spans="1:16" ht="24.95" customHeight="1" thickTop="1" thickBot="1" x14ac:dyDescent="0.25">
      <c r="A9" s="64"/>
      <c r="C9" s="689" t="str">
        <f>HYPERLINK("#"&amp;"'Abacaxi'!h1","Abacaxi")</f>
        <v>Abacaxi</v>
      </c>
      <c r="D9" s="690"/>
      <c r="E9" s="691"/>
      <c r="F9" s="689" t="str">
        <f>HYPERLINK("#"&amp;"'Cacau'!h1","Cacau")</f>
        <v>Cacau</v>
      </c>
      <c r="G9" s="690"/>
      <c r="H9" s="691"/>
      <c r="I9" s="689" t="str">
        <f>HYPERLINK("#"&amp;"'feijaoVagem'!h1","Feijão-vagem")</f>
        <v>Feijão-vagem</v>
      </c>
      <c r="J9" s="690"/>
      <c r="K9" s="691"/>
      <c r="L9" s="689" t="str">
        <f>HYPERLINK("#"&amp;"'Nespera'!h1","Nêspera")</f>
        <v>Nêspera</v>
      </c>
      <c r="M9" s="690"/>
      <c r="N9" s="691"/>
    </row>
    <row r="10" spans="1:16" ht="24.95" customHeight="1" thickTop="1" thickBot="1" x14ac:dyDescent="0.25">
      <c r="A10" s="64"/>
      <c r="C10" s="689" t="str">
        <f>HYPERLINK("#"&amp;"'AboboraRast'!h1","Abóbora Rasteira")</f>
        <v>Abóbora Rasteira</v>
      </c>
      <c r="D10" s="690"/>
      <c r="E10" s="691"/>
      <c r="F10" s="689" t="str">
        <f>HYPERLINK("#"&amp;"'CafeArabica'!h1","Café Arábica")</f>
        <v>Café Arábica</v>
      </c>
      <c r="G10" s="690"/>
      <c r="H10" s="691"/>
      <c r="I10" s="689" t="str">
        <f>HYPERLINK("#"&amp;"'Figo'!h1","Figo")</f>
        <v>Figo</v>
      </c>
      <c r="J10" s="690"/>
      <c r="K10" s="691"/>
      <c r="L10" s="689" t="str">
        <f>HYPERLINK("#"&amp;"'Pastagem'!h1","Pastagem")</f>
        <v>Pastagem</v>
      </c>
      <c r="M10" s="690"/>
      <c r="N10" s="691"/>
    </row>
    <row r="11" spans="1:16" ht="24.95" customHeight="1" thickTop="1" thickBot="1" x14ac:dyDescent="0.25">
      <c r="A11" s="64"/>
      <c r="C11" s="689" t="str">
        <f>HYPERLINK("#"&amp;"'AboboraMoita'!h1","Abóbora de Moita")</f>
        <v>Abóbora de Moita</v>
      </c>
      <c r="D11" s="690"/>
      <c r="E11" s="691"/>
      <c r="F11" s="689" t="str">
        <f>HYPERLINK("#"&amp;"'CafeConilon'!h1","Café Conilon")</f>
        <v>Café Conilon</v>
      </c>
      <c r="G11" s="690"/>
      <c r="H11" s="691"/>
      <c r="I11" s="689" t="str">
        <f>HYPERLINK("#"&amp;"'Gengibre'!h1","Gengibre")</f>
        <v>Gengibre</v>
      </c>
      <c r="J11" s="690"/>
      <c r="K11" s="691"/>
      <c r="L11" s="689" t="str">
        <f>HYPERLINK("#"&amp;"'Pepino'!h1","Pepino")</f>
        <v>Pepino</v>
      </c>
      <c r="M11" s="690"/>
      <c r="N11" s="691"/>
    </row>
    <row r="12" spans="1:16" ht="24.95" customHeight="1" thickTop="1" thickBot="1" x14ac:dyDescent="0.25">
      <c r="A12" s="64"/>
      <c r="C12" s="689" t="str">
        <f>HYPERLINK("#"&amp;"'Acerola'!h1","Acerola")</f>
        <v>Acerola</v>
      </c>
      <c r="D12" s="690"/>
      <c r="E12" s="691"/>
      <c r="F12" s="689" t="str">
        <f>HYPERLINK("#"&amp;"'Cana'!h1","Cana-de-açúcar")</f>
        <v>Cana-de-açúcar</v>
      </c>
      <c r="G12" s="690"/>
      <c r="H12" s="691"/>
      <c r="I12" s="689" t="str">
        <f>HYPERLINK("#"&amp;"'Goiaba'!h1","Goiaba")</f>
        <v>Goiaba</v>
      </c>
      <c r="J12" s="690"/>
      <c r="K12" s="691"/>
      <c r="L12" s="689" t="str">
        <f>HYPERLINK("#"&amp;"'Pessego'!h1","Pêssego")</f>
        <v>Pêssego</v>
      </c>
      <c r="M12" s="690"/>
      <c r="N12" s="691"/>
    </row>
    <row r="13" spans="1:16" ht="24.95" customHeight="1" thickTop="1" thickBot="1" x14ac:dyDescent="0.25">
      <c r="A13" s="64"/>
      <c r="C13" s="689" t="str">
        <f>HYPERLINK("#"&amp;"'Alface'!h1","Alface / Agrião")</f>
        <v>Alface / Agrião</v>
      </c>
      <c r="D13" s="690"/>
      <c r="E13" s="691"/>
      <c r="F13" s="689" t="str">
        <f>HYPERLINK("#"&amp;"'Caqui'!h1","Caqui")</f>
        <v>Caqui</v>
      </c>
      <c r="G13" s="690"/>
      <c r="H13" s="691"/>
      <c r="I13" s="689" t="str">
        <f>HYPERLINK("#"&amp;"'Graviola'!h1","Graviola")</f>
        <v>Graviola</v>
      </c>
      <c r="J13" s="690"/>
      <c r="K13" s="691"/>
      <c r="L13" s="689" t="str">
        <f>HYPERLINK("#"&amp;"'Pimenta'!h1","Pimenta")</f>
        <v>Pimenta</v>
      </c>
      <c r="M13" s="690"/>
      <c r="N13" s="691"/>
    </row>
    <row r="14" spans="1:16" ht="24.95" customHeight="1" thickTop="1" thickBot="1" x14ac:dyDescent="0.25">
      <c r="A14" s="64"/>
      <c r="C14" s="689" t="str">
        <f>HYPERLINK("#"&amp;"'Algodao'!h1","Algodão")</f>
        <v>Algodão</v>
      </c>
      <c r="D14" s="690"/>
      <c r="E14" s="691"/>
      <c r="F14" s="689" t="str">
        <f>HYPERLINK("#"&amp;"'Cebola'!h1","Cebola")</f>
        <v>Cebola</v>
      </c>
      <c r="G14" s="690"/>
      <c r="H14" s="691"/>
      <c r="I14" s="689" t="str">
        <f>HYPERLINK("#"&amp;"'Inhame'!h1","Inhame")</f>
        <v>Inhame</v>
      </c>
      <c r="J14" s="690"/>
      <c r="K14" s="691"/>
      <c r="L14" s="689" t="str">
        <f>HYPERLINK("#"&amp;"'Pimentao'!h1","Pimentão")</f>
        <v>Pimentão</v>
      </c>
      <c r="M14" s="690"/>
      <c r="N14" s="691"/>
    </row>
    <row r="15" spans="1:16" ht="24.95" customHeight="1" thickTop="1" thickBot="1" x14ac:dyDescent="0.25">
      <c r="A15" s="64"/>
      <c r="C15" s="689" t="str">
        <f>HYPERLINK("#"&amp;"'Alho'!h1","Alho")</f>
        <v>Alho</v>
      </c>
      <c r="D15" s="690"/>
      <c r="E15" s="691"/>
      <c r="F15" s="689" t="str">
        <f>HYPERLINK("#"&amp;"'Cebolinha'!h1","Cebolinha")</f>
        <v>Cebolinha</v>
      </c>
      <c r="G15" s="690"/>
      <c r="H15" s="691"/>
      <c r="I15" s="689" t="str">
        <f>HYPERLINK("#"&amp;"'Jilo'!h1","Jiló")</f>
        <v>Jiló</v>
      </c>
      <c r="J15" s="690"/>
      <c r="K15" s="691"/>
      <c r="L15" s="689" t="str">
        <f>HYPERLINK("#"&amp;"'PimentaReino'!h1","Pimenta-do-reino")</f>
        <v>Pimenta-do-reino</v>
      </c>
      <c r="M15" s="690"/>
      <c r="N15" s="691"/>
    </row>
    <row r="16" spans="1:16" ht="24.95" customHeight="1" thickTop="1" thickBot="1" x14ac:dyDescent="0.25">
      <c r="A16" s="64"/>
      <c r="C16" s="689" t="str">
        <f>HYPERLINK("#"&amp;"'Ameixa'!h1","Ameixa")</f>
        <v>Ameixa</v>
      </c>
      <c r="D16" s="690"/>
      <c r="E16" s="691"/>
      <c r="F16" s="689" t="str">
        <f>HYPERLINK("#"&amp;"'CedroAustraliano'!h1","Cedro Australiano")</f>
        <v>Cedro Australiano</v>
      </c>
      <c r="G16" s="690"/>
      <c r="H16" s="691"/>
      <c r="I16" s="689" t="str">
        <f>HYPERLINK("#"&amp;"'Lichia'!h1","Lichia")</f>
        <v>Lichia</v>
      </c>
      <c r="J16" s="690"/>
      <c r="K16" s="691"/>
      <c r="L16" s="689" t="str">
        <f>HYPERLINK("#"&amp;"'Pupunha'!h1","Pupunha")</f>
        <v>Pupunha</v>
      </c>
      <c r="M16" s="690"/>
      <c r="N16" s="691"/>
    </row>
    <row r="17" spans="1:14" ht="24.95" customHeight="1" thickTop="1" thickBot="1" x14ac:dyDescent="0.25">
      <c r="A17" s="64"/>
      <c r="C17" s="689" t="str">
        <f>HYPERLINK("#"&amp;"'ArrozSequ'!h1","Arroz Sequeiro")</f>
        <v>Arroz Sequeiro</v>
      </c>
      <c r="D17" s="690"/>
      <c r="E17" s="691"/>
      <c r="F17" s="689" t="str">
        <f>HYPERLINK("#"&amp;"'Cenoura'!h1","Cenoura")</f>
        <v>Cenoura</v>
      </c>
      <c r="G17" s="690"/>
      <c r="H17" s="691"/>
      <c r="I17" s="689" t="str">
        <f>HYPERLINK("#"&amp;"'Macadamia'!h1","Macadâmia")</f>
        <v>Macadâmia</v>
      </c>
      <c r="J17" s="690"/>
      <c r="K17" s="691"/>
      <c r="L17" s="689" t="str">
        <f>HYPERLINK("#"&amp;"'Quiabo'!h1","Quiabo")</f>
        <v>Quiabo</v>
      </c>
      <c r="M17" s="690"/>
      <c r="N17" s="691"/>
    </row>
    <row r="18" spans="1:14" ht="24.95" customHeight="1" thickTop="1" thickBot="1" x14ac:dyDescent="0.25">
      <c r="A18" s="64"/>
      <c r="C18" s="689" t="str">
        <f>HYPERLINK("#"&amp;"'ArrozInun'!h1","Arroz Inundado")</f>
        <v>Arroz Inundado</v>
      </c>
      <c r="D18" s="690"/>
      <c r="E18" s="691"/>
      <c r="F18" s="689" t="str">
        <f>HYPERLINK("#"&amp;"'Chuchu'!h1","Chuchu")</f>
        <v>Chuchu</v>
      </c>
      <c r="G18" s="690"/>
      <c r="H18" s="691"/>
      <c r="I18" s="689" t="str">
        <f>HYPERLINK("#"&amp;"'Mamao'!h1","Mamão")</f>
        <v>Mamão</v>
      </c>
      <c r="J18" s="690"/>
      <c r="K18" s="691"/>
      <c r="L18" s="689" t="str">
        <f>HYPERLINK("#"&amp;"'Rabanete'!h1","Rabanete")</f>
        <v>Rabanete</v>
      </c>
      <c r="M18" s="690"/>
      <c r="N18" s="691"/>
    </row>
    <row r="19" spans="1:14" ht="24.95" customHeight="1" thickTop="1" thickBot="1" x14ac:dyDescent="0.25">
      <c r="A19" s="64"/>
      <c r="C19" s="689" t="str">
        <f>HYPERLINK("#"&amp;"'Banana'!h1","Banana")</f>
        <v>Banana</v>
      </c>
      <c r="D19" s="690"/>
      <c r="E19" s="691"/>
      <c r="F19" s="689" t="str">
        <f>HYPERLINK("#"&amp;"'Citrus'!h1","Citrus")</f>
        <v>Citrus</v>
      </c>
      <c r="G19" s="690"/>
      <c r="H19" s="691"/>
      <c r="I19" s="689" t="str">
        <f>HYPERLINK("#"&amp;"'Manga'!h1","Manga")</f>
        <v>Manga</v>
      </c>
      <c r="J19" s="690"/>
      <c r="K19" s="691"/>
      <c r="L19" s="689" t="str">
        <f>HYPERLINK("#"&amp;"'Repolho'!h1","Repolho")</f>
        <v>Repolho</v>
      </c>
      <c r="M19" s="690"/>
      <c r="N19" s="691"/>
    </row>
    <row r="20" spans="1:14" ht="24.95" customHeight="1" thickTop="1" thickBot="1" x14ac:dyDescent="0.25">
      <c r="A20" s="64"/>
      <c r="C20" s="689" t="str">
        <f>HYPERLINK("#"&amp;"'Batata'!h1","Batata")</f>
        <v>Batata</v>
      </c>
      <c r="D20" s="690"/>
      <c r="E20" s="691"/>
      <c r="F20" s="689" t="str">
        <f>HYPERLINK("#"&amp;"'Coco'!h1","Coco")</f>
        <v>Coco</v>
      </c>
      <c r="G20" s="690"/>
      <c r="H20" s="691"/>
      <c r="I20" s="689" t="str">
        <f>HYPERLINK("#"&amp;"'Mandioca'!h1","Mandioca")</f>
        <v>Mandioca</v>
      </c>
      <c r="J20" s="690"/>
      <c r="K20" s="691"/>
      <c r="L20" s="689" t="str">
        <f>HYPERLINK("#"&amp;"'Salsa'!h1","Salsa")</f>
        <v>Salsa</v>
      </c>
      <c r="M20" s="690"/>
      <c r="N20" s="691"/>
    </row>
    <row r="21" spans="1:14" ht="24.95" customHeight="1" thickTop="1" thickBot="1" x14ac:dyDescent="0.25">
      <c r="A21" s="64"/>
      <c r="C21" s="689" t="str">
        <f>HYPERLINK("#"&amp;"'BatataDoce'!h1","Batata Doce")</f>
        <v>Batata Doce</v>
      </c>
      <c r="D21" s="690"/>
      <c r="E21" s="691"/>
      <c r="F21" s="689" t="str">
        <f>HYPERLINK("#"&amp;"'Couve'!h1","Couve-manteiga")</f>
        <v>Couve-manteiga</v>
      </c>
      <c r="G21" s="690"/>
      <c r="H21" s="691"/>
      <c r="I21" s="689" t="str">
        <f>HYPERLINK("#"&amp;"'Mandioquinha'!h1","Mandioquinha-salsa")</f>
        <v>Mandioquinha-salsa</v>
      </c>
      <c r="J21" s="690"/>
      <c r="K21" s="691"/>
      <c r="L21" s="689" t="str">
        <f>HYPERLINK("#"&amp;"'Seringueira'!h1","Seringueira")</f>
        <v>Seringueira</v>
      </c>
      <c r="M21" s="690"/>
      <c r="N21" s="691"/>
    </row>
    <row r="22" spans="1:14" ht="24.95" customHeight="1" thickTop="1" thickBot="1" x14ac:dyDescent="0.25">
      <c r="A22" s="64"/>
      <c r="C22" s="689" t="str">
        <f>HYPERLINK("#"&amp;"'Beterraba'!h1","Beterraba")</f>
        <v>Beterraba</v>
      </c>
      <c r="D22" s="690"/>
      <c r="E22" s="691"/>
      <c r="F22" s="689" t="str">
        <f>HYPERLINK("#"&amp;"'CouveFlor'!h1","Couve-flor")</f>
        <v>Couve-flor</v>
      </c>
      <c r="G22" s="690"/>
      <c r="H22" s="691"/>
      <c r="I22" s="689" t="str">
        <f>HYPERLINK("#"&amp;"'Maracuja'!h1","Maracujá")</f>
        <v>Maracujá</v>
      </c>
      <c r="J22" s="690"/>
      <c r="K22" s="691"/>
      <c r="L22" s="689" t="str">
        <f>HYPERLINK("#"&amp;"'Tomate'!h1","Tomate")</f>
        <v>Tomate</v>
      </c>
      <c r="M22" s="690"/>
      <c r="N22" s="691"/>
    </row>
    <row r="23" spans="1:14" ht="24.95" customHeight="1" thickTop="1" thickBot="1" x14ac:dyDescent="0.25">
      <c r="A23" s="64"/>
      <c r="C23" s="689" t="str">
        <f>HYPERLINK("#"&amp;"'Berinjela'!h1","Berinjela")</f>
        <v>Berinjela</v>
      </c>
      <c r="D23" s="690"/>
      <c r="E23" s="691"/>
      <c r="F23" s="689" t="str">
        <f>HYPERLINK("#"&amp;"'Eucalipto'!h1","Eucalipto")</f>
        <v>Eucalipto</v>
      </c>
      <c r="G23" s="690"/>
      <c r="H23" s="691"/>
      <c r="I23" s="689" t="str">
        <f>HYPERLINK("#"&amp;"'Milho'!h1","Milho")</f>
        <v>Milho</v>
      </c>
      <c r="J23" s="690"/>
      <c r="K23" s="691"/>
      <c r="L23" s="689" t="str">
        <f>HYPERLINK("#"&amp;"'Uva'!h1","Uva")</f>
        <v>Uva</v>
      </c>
      <c r="M23" s="690"/>
      <c r="N23" s="691"/>
    </row>
    <row r="24" spans="1:14" ht="24.95" customHeight="1" thickTop="1" thickBot="1" x14ac:dyDescent="0.25">
      <c r="A24" s="64"/>
      <c r="C24" s="689" t="str">
        <f>HYPERLINK("#"&amp;"'Brocolis'!h1","Brócolis")</f>
        <v>Brócolis</v>
      </c>
      <c r="D24" s="690"/>
      <c r="E24" s="691"/>
      <c r="F24" s="689"/>
      <c r="G24" s="690"/>
      <c r="H24" s="691"/>
      <c r="I24" s="689" t="str">
        <f>HYPERLINK("#"&amp;"'Morango'!h1","Morango")</f>
        <v>Morango</v>
      </c>
      <c r="J24" s="690"/>
      <c r="K24" s="691"/>
      <c r="L24" s="689"/>
      <c r="M24" s="690"/>
      <c r="N24" s="691"/>
    </row>
    <row r="25" spans="1:14" ht="24.95" customHeight="1" thickTop="1" x14ac:dyDescent="0.2"/>
    <row r="28" spans="1:14" ht="20.100000000000001" hidden="1" customHeight="1" x14ac:dyDescent="0.2"/>
    <row r="29" spans="1:14" ht="20.100000000000001" hidden="1" customHeight="1" x14ac:dyDescent="0.2">
      <c r="D29" s="64"/>
      <c r="E29" s="64"/>
      <c r="F29" s="26"/>
      <c r="G29" s="26"/>
      <c r="H29" s="26"/>
      <c r="I29" s="26"/>
      <c r="J29" s="26"/>
      <c r="K29" s="26"/>
    </row>
    <row r="30" spans="1:14" ht="20.100000000000001" hidden="1" customHeight="1" x14ac:dyDescent="0.2">
      <c r="C30" s="65"/>
      <c r="D30" s="65"/>
      <c r="E30" s="65"/>
      <c r="F30" s="26"/>
      <c r="G30" s="26"/>
      <c r="H30" s="26"/>
      <c r="I30" s="26"/>
      <c r="J30" s="26"/>
      <c r="K30" s="26"/>
    </row>
    <row r="48" ht="20.100000000000001" hidden="1" customHeight="1" x14ac:dyDescent="0.2"/>
    <row r="49" ht="20.100000000000001" customHeight="1" x14ac:dyDescent="0.2"/>
    <row r="61" ht="20.100000000000001" hidden="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</sheetData>
  <sheetProtection algorithmName="SHA-512" hashValue="/BaD+49zTN0yRvkaqk4fj21El3mpdL47bv+651kyhQySLa1pSQx2YVxj1PwNI38ipb6KxForC5D0nWKT+EZn2g==" saltValue="i2fry1L5SXB99aB1bbZieQ==" spinCount="100000" sheet="1" objects="1" scenarios="1"/>
  <mergeCells count="69">
    <mergeCell ref="I23:K23"/>
    <mergeCell ref="I24:K24"/>
    <mergeCell ref="C6:N6"/>
    <mergeCell ref="I18:K18"/>
    <mergeCell ref="I19:K19"/>
    <mergeCell ref="I20:K20"/>
    <mergeCell ref="I21:K21"/>
    <mergeCell ref="I22:K22"/>
    <mergeCell ref="I13:K13"/>
    <mergeCell ref="I14:K14"/>
    <mergeCell ref="I15:K15"/>
    <mergeCell ref="I16:K16"/>
    <mergeCell ref="I17:K17"/>
    <mergeCell ref="I8:K8"/>
    <mergeCell ref="I9:K9"/>
    <mergeCell ref="I10:K10"/>
    <mergeCell ref="I11:K11"/>
    <mergeCell ref="I12:K12"/>
    <mergeCell ref="C23:E23"/>
    <mergeCell ref="C24:E24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C18:E18"/>
    <mergeCell ref="C19:E19"/>
    <mergeCell ref="C20:E20"/>
    <mergeCell ref="C21:E21"/>
    <mergeCell ref="C22:E22"/>
    <mergeCell ref="C13:E13"/>
    <mergeCell ref="C14:E14"/>
    <mergeCell ref="C15:E15"/>
    <mergeCell ref="C16:E16"/>
    <mergeCell ref="C17:E17"/>
    <mergeCell ref="L8:N8"/>
    <mergeCell ref="L9:N9"/>
    <mergeCell ref="L10:N10"/>
    <mergeCell ref="L11:N11"/>
    <mergeCell ref="L12:N12"/>
    <mergeCell ref="C8:E8"/>
    <mergeCell ref="C9:E9"/>
    <mergeCell ref="C10:E10"/>
    <mergeCell ref="F8:H8"/>
    <mergeCell ref="F9:H9"/>
    <mergeCell ref="F10:H10"/>
    <mergeCell ref="L24:N24"/>
    <mergeCell ref="F11:H11"/>
    <mergeCell ref="F12:H12"/>
    <mergeCell ref="C11:E11"/>
    <mergeCell ref="C12:E12"/>
    <mergeCell ref="L23:N23"/>
    <mergeCell ref="L22:N22"/>
    <mergeCell ref="L21:N21"/>
    <mergeCell ref="L20:N20"/>
    <mergeCell ref="L19:N19"/>
    <mergeCell ref="L18:N18"/>
    <mergeCell ref="L17:N17"/>
    <mergeCell ref="L16:N16"/>
    <mergeCell ref="L15:N15"/>
    <mergeCell ref="L14:N14"/>
    <mergeCell ref="L13:N13"/>
  </mergeCells>
  <phoneticPr fontId="0" type="noConversion"/>
  <pageMargins left="0.78740157480314965" right="0.78740157480314965" top="0.78740157480314965" bottom="0.78740157480314965" header="0.51181102362204722" footer="0.51181102362204722"/>
  <pageSetup scale="61" orientation="portrait" horizontalDpi="360" verticalDpi="360" r:id="rId1"/>
  <headerFooter alignWithMargins="0">
    <oddFooter>Página 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>
    <pageSetUpPr fitToPage="1"/>
  </sheetPr>
  <dimension ref="A1:X47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A6" s="27"/>
      <c r="B6" s="27"/>
      <c r="C6" s="27"/>
      <c r="D6" s="27"/>
      <c r="E6" s="688" t="s">
        <v>1849</v>
      </c>
      <c r="F6" s="688"/>
      <c r="G6" s="688"/>
      <c r="H6" s="688"/>
      <c r="I6" s="688"/>
      <c r="J6" s="688"/>
      <c r="K6" s="688"/>
      <c r="L6" s="688"/>
    </row>
    <row r="7" spans="1:24" ht="1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24" ht="15" customHeight="1" x14ac:dyDescent="0.2">
      <c r="C8" s="27"/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4" ht="15" customHeight="1" x14ac:dyDescent="0.2">
      <c r="C9" s="27"/>
      <c r="D9" s="27"/>
      <c r="E9" s="27"/>
      <c r="F9" s="27"/>
      <c r="G9" s="27"/>
      <c r="H9" s="27"/>
      <c r="I9" s="27"/>
    </row>
    <row r="10" spans="1:24" s="287" customFormat="1" ht="15" customHeight="1" x14ac:dyDescent="0.25">
      <c r="D10" s="164" t="s">
        <v>246</v>
      </c>
      <c r="E10" s="164"/>
      <c r="F10" s="164"/>
      <c r="G10" s="164"/>
    </row>
    <row r="11" spans="1:24" ht="15" customHeight="1" x14ac:dyDescent="0.2"/>
    <row r="12" spans="1:24" ht="15" customHeight="1" x14ac:dyDescent="0.2">
      <c r="D12" s="213" t="s">
        <v>656</v>
      </c>
      <c r="E12" s="213"/>
      <c r="G12" s="9">
        <v>40</v>
      </c>
      <c r="H12" s="9">
        <v>40</v>
      </c>
      <c r="I12" s="9">
        <v>40</v>
      </c>
    </row>
    <row r="13" spans="1:24" ht="15" customHeight="1" x14ac:dyDescent="0.2">
      <c r="D13" s="34"/>
      <c r="E13" s="34"/>
      <c r="F13" s="34"/>
      <c r="G13" s="34"/>
    </row>
    <row r="14" spans="1:24" ht="15" customHeight="1" x14ac:dyDescent="0.2">
      <c r="D14" s="281" t="s">
        <v>338</v>
      </c>
      <c r="E14" s="292"/>
      <c r="F14" s="317" t="s">
        <v>657</v>
      </c>
      <c r="G14" s="5">
        <v>3</v>
      </c>
      <c r="H14" s="273" t="s">
        <v>278</v>
      </c>
    </row>
    <row r="15" spans="1:24" ht="15" customHeight="1" x14ac:dyDescent="0.2">
      <c r="D15" s="275"/>
      <c r="E15" s="292"/>
      <c r="F15" s="317" t="s">
        <v>658</v>
      </c>
      <c r="G15" s="5">
        <v>90</v>
      </c>
      <c r="H15" s="273" t="s">
        <v>278</v>
      </c>
    </row>
    <row r="16" spans="1:24" ht="15" customHeight="1" x14ac:dyDescent="0.2">
      <c r="D16" s="275"/>
      <c r="E16" s="292"/>
      <c r="F16" s="317" t="s">
        <v>1851</v>
      </c>
      <c r="G16" s="5">
        <v>2</v>
      </c>
      <c r="H16" s="273" t="s">
        <v>341</v>
      </c>
      <c r="W16" s="256">
        <f>(G12*H12*I12)/1000</f>
        <v>64</v>
      </c>
      <c r="X16" s="49" t="s">
        <v>662</v>
      </c>
    </row>
    <row r="17" spans="4:24" ht="15" customHeight="1" x14ac:dyDescent="0.2">
      <c r="D17" s="275"/>
      <c r="E17" s="273"/>
      <c r="F17" s="317" t="s">
        <v>562</v>
      </c>
      <c r="G17" s="237">
        <v>30</v>
      </c>
      <c r="H17" s="49" t="s">
        <v>341</v>
      </c>
      <c r="M17" s="49"/>
      <c r="W17" s="256">
        <f>IF(G16&lt;1,15,IF(AND(G16&gt;=1,G16&lt;3),10,IF(AND(G16&gt;=3,G16&lt;5),7,5)))</f>
        <v>10</v>
      </c>
      <c r="X17" s="49" t="s">
        <v>667</v>
      </c>
    </row>
    <row r="18" spans="4:24" ht="15" customHeight="1" x14ac:dyDescent="0.3">
      <c r="D18" s="275"/>
      <c r="E18" s="273"/>
      <c r="F18" s="317" t="s">
        <v>564</v>
      </c>
      <c r="G18" s="5">
        <v>7</v>
      </c>
      <c r="H18" s="49" t="s">
        <v>1784</v>
      </c>
      <c r="M18" s="49"/>
      <c r="W18" s="350">
        <f>((((80-G14)/0.2)*W16)/1000)*2.3*5</f>
        <v>283.36</v>
      </c>
      <c r="X18" s="49" t="s">
        <v>664</v>
      </c>
    </row>
    <row r="19" spans="4:24" ht="15" customHeight="1" x14ac:dyDescent="0.2">
      <c r="D19" s="275"/>
      <c r="E19" s="273"/>
      <c r="F19" s="317"/>
      <c r="G19" s="208"/>
      <c r="H19" s="26"/>
      <c r="I19" s="27"/>
      <c r="J19" s="27"/>
      <c r="M19" s="49"/>
      <c r="W19" s="310">
        <f>IF(W18&gt;0,W18,0)</f>
        <v>283.36</v>
      </c>
      <c r="X19" s="266" t="s">
        <v>799</v>
      </c>
    </row>
    <row r="20" spans="4:24" ht="15" customHeight="1" x14ac:dyDescent="0.2">
      <c r="D20" s="275"/>
      <c r="E20" s="273"/>
      <c r="F20" s="317" t="s">
        <v>565</v>
      </c>
      <c r="G20" s="237">
        <v>90</v>
      </c>
      <c r="H20" s="49" t="s">
        <v>563</v>
      </c>
      <c r="M20" s="49"/>
      <c r="W20" s="353">
        <f>((80-G17)*G18)/G20</f>
        <v>3.8888888888888888</v>
      </c>
      <c r="X20" s="49" t="s">
        <v>665</v>
      </c>
    </row>
    <row r="21" spans="4:24" ht="15" customHeight="1" x14ac:dyDescent="0.2">
      <c r="D21" s="34"/>
      <c r="E21" s="34"/>
      <c r="F21" s="34"/>
      <c r="G21" s="34"/>
      <c r="W21" s="350">
        <f>(W20/2)*W16</f>
        <v>124.44444444444444</v>
      </c>
      <c r="X21" s="49" t="s">
        <v>666</v>
      </c>
    </row>
    <row r="22" spans="4:24" ht="15" customHeight="1" x14ac:dyDescent="0.2">
      <c r="D22" s="169" t="s">
        <v>668</v>
      </c>
      <c r="F22" s="257">
        <f>W17</f>
        <v>10</v>
      </c>
      <c r="G22" s="266" t="s">
        <v>663</v>
      </c>
      <c r="M22" s="49"/>
      <c r="W22" s="350">
        <f>IF(W21&gt;0,W21,0)</f>
        <v>124.44444444444444</v>
      </c>
      <c r="X22" s="49" t="s">
        <v>800</v>
      </c>
    </row>
    <row r="23" spans="4:24" ht="15" customHeight="1" x14ac:dyDescent="0.2">
      <c r="F23" s="276">
        <f>W19</f>
        <v>283.36</v>
      </c>
      <c r="G23" s="266" t="s">
        <v>659</v>
      </c>
      <c r="M23" s="49"/>
    </row>
    <row r="24" spans="4:24" ht="15" customHeight="1" x14ac:dyDescent="0.2">
      <c r="F24" s="276">
        <f>W22</f>
        <v>124.44444444444444</v>
      </c>
      <c r="G24" s="266" t="s">
        <v>660</v>
      </c>
      <c r="M24" s="49"/>
    </row>
    <row r="25" spans="4:24" ht="15" customHeight="1" x14ac:dyDescent="0.2">
      <c r="F25" s="257">
        <v>20</v>
      </c>
      <c r="G25" s="266" t="s">
        <v>661</v>
      </c>
      <c r="W25" s="396">
        <f>((80-G17)*G18)/G20</f>
        <v>3.8888888888888888</v>
      </c>
      <c r="X25" s="266" t="s">
        <v>1129</v>
      </c>
    </row>
    <row r="26" spans="4:24" ht="15" customHeight="1" x14ac:dyDescent="0.2">
      <c r="E26" s="257"/>
    </row>
    <row r="27" spans="4:24" ht="15" customHeight="1" x14ac:dyDescent="0.2">
      <c r="D27" s="169" t="s">
        <v>573</v>
      </c>
      <c r="E27" s="286">
        <f>IF(W25&gt;0,W25,0)</f>
        <v>3.8888888888888888</v>
      </c>
      <c r="F27" s="266" t="s">
        <v>1143</v>
      </c>
    </row>
    <row r="28" spans="4:24" ht="15" customHeight="1" x14ac:dyDescent="0.2"/>
    <row r="29" spans="4:24" ht="15" customHeight="1" x14ac:dyDescent="0.2">
      <c r="D29" s="219" t="s">
        <v>1677</v>
      </c>
    </row>
    <row r="30" spans="4:24" ht="15" customHeight="1" x14ac:dyDescent="0.2">
      <c r="G30" s="316" t="s">
        <v>1684</v>
      </c>
      <c r="H30" s="257" t="str">
        <f>IF(G15&lt;60,"20-00-20",IF(AND(G15&gt;=60,G15&lt;120),"20-00-15",IF(AND(G15&gt;=120,G15&lt;220),"20-00-10","Sulfato de Amônio")))</f>
        <v>20-00-15</v>
      </c>
      <c r="K30" s="49"/>
      <c r="L30" s="49"/>
      <c r="M30" s="49"/>
    </row>
    <row r="31" spans="4:24" ht="15" customHeight="1" x14ac:dyDescent="0.2">
      <c r="G31" s="316" t="s">
        <v>1685</v>
      </c>
      <c r="H31" s="257" t="str">
        <f>H30</f>
        <v>20-00-15</v>
      </c>
    </row>
    <row r="32" spans="4:24" ht="15" customHeight="1" x14ac:dyDescent="0.2">
      <c r="G32" s="316" t="s">
        <v>1686</v>
      </c>
      <c r="H32" s="257" t="str">
        <f>H30</f>
        <v>20-00-15</v>
      </c>
    </row>
    <row r="33" spans="1:15" ht="15" customHeight="1" x14ac:dyDescent="0.2">
      <c r="G33" s="169"/>
    </row>
    <row r="34" spans="1:15" ht="15" customHeight="1" x14ac:dyDescent="0.2">
      <c r="D34" s="169" t="s">
        <v>1144</v>
      </c>
    </row>
    <row r="35" spans="1:15" ht="15" customHeight="1" x14ac:dyDescent="0.2">
      <c r="D35" s="49" t="s">
        <v>1854</v>
      </c>
    </row>
    <row r="36" spans="1:15" ht="15" customHeight="1" x14ac:dyDescent="0.2">
      <c r="D36" s="49" t="s">
        <v>1853</v>
      </c>
    </row>
    <row r="37" spans="1:15" ht="15" customHeight="1" x14ac:dyDescent="0.2"/>
    <row r="38" spans="1:15" ht="15" hidden="1" customHeight="1" x14ac:dyDescent="0.2"/>
    <row r="39" spans="1:15" s="60" customFormat="1" ht="15" customHeight="1" x14ac:dyDescent="0.2"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</row>
    <row r="40" spans="1:15" s="60" customFormat="1" ht="15" customHeight="1" x14ac:dyDescent="0.2">
      <c r="C40" s="296"/>
      <c r="D40" s="226" t="s">
        <v>891</v>
      </c>
      <c r="E40" s="771">
        <f ca="1">TODAY()</f>
        <v>45064</v>
      </c>
      <c r="F40" s="772"/>
      <c r="G40" s="296" t="s">
        <v>373</v>
      </c>
      <c r="H40" s="296"/>
      <c r="I40" s="296"/>
      <c r="J40" s="296"/>
      <c r="K40" s="296"/>
    </row>
    <row r="41" spans="1:15" s="60" customFormat="1" ht="15" customHeight="1" x14ac:dyDescent="0.2">
      <c r="C41" s="296"/>
      <c r="D41" s="267"/>
      <c r="E41" s="296"/>
      <c r="F41" s="296"/>
      <c r="G41" s="296"/>
      <c r="H41" s="296"/>
      <c r="I41" s="296"/>
      <c r="J41" s="296"/>
      <c r="K41" s="296"/>
    </row>
    <row r="42" spans="1:15" s="60" customFormat="1" ht="15" hidden="1" customHeight="1" x14ac:dyDescent="0.2">
      <c r="A42" s="296"/>
      <c r="C42" s="296"/>
      <c r="D42" s="267"/>
      <c r="E42" s="296"/>
      <c r="F42" s="296"/>
      <c r="G42" s="296"/>
      <c r="I42" s="296"/>
      <c r="J42" s="296"/>
      <c r="K42" s="296"/>
    </row>
    <row r="43" spans="1:15" s="60" customFormat="1" ht="15" hidden="1" customHeight="1" x14ac:dyDescent="0.2">
      <c r="A43" s="296"/>
      <c r="B43" s="267"/>
      <c r="C43" s="296"/>
      <c r="D43" s="296"/>
      <c r="E43" s="296"/>
      <c r="F43" s="773"/>
      <c r="G43" s="773"/>
      <c r="H43" s="773"/>
      <c r="I43" s="773"/>
    </row>
    <row r="44" spans="1:15" ht="15" hidden="1" customHeight="1" x14ac:dyDescent="0.2">
      <c r="A44" s="27"/>
      <c r="B44" s="267"/>
      <c r="C44" s="296"/>
      <c r="D44" s="296"/>
      <c r="E44" s="296"/>
      <c r="F44" s="296"/>
      <c r="G44" s="296"/>
      <c r="H44" s="296"/>
      <c r="I44" s="296"/>
      <c r="J44" s="60"/>
      <c r="K44" s="60"/>
      <c r="L44" s="60"/>
      <c r="M44" s="60"/>
      <c r="N44" s="60"/>
      <c r="O44" s="60"/>
    </row>
    <row r="45" spans="1:15" ht="15" hidden="1" customHeight="1" x14ac:dyDescent="0.2">
      <c r="B45" s="27"/>
      <c r="C45" s="27"/>
      <c r="D45" s="27"/>
      <c r="E45" s="27"/>
      <c r="F45" s="27"/>
      <c r="G45" s="27"/>
      <c r="H45" s="27"/>
      <c r="I45" s="27"/>
    </row>
    <row r="46" spans="1:15" s="60" customFormat="1" ht="15" hidden="1" customHeight="1" x14ac:dyDescent="0.2"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hidden="1" customHeight="1" x14ac:dyDescent="0.2">
      <c r="B47" s="267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</row>
  </sheetData>
  <sheetProtection algorithmName="SHA-512" hashValue="ngOOM7CF1CKlFmsg2G/UNJ3Ispk2F1z6CR2ru3FrUuodM0WaHzkgn3BdAuJWFgDeo+TsJ39i7ceL77W3By7gjA==" saltValue="4UUgAEnjQaWCTQLe7DhZGg==" spinCount="100000" sheet="1" objects="1" scenarios="1" selectLockedCells="1"/>
  <mergeCells count="4">
    <mergeCell ref="F43:I43"/>
    <mergeCell ref="E8:M8"/>
    <mergeCell ref="E6:L6"/>
    <mergeCell ref="E40:F40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5">
    <pageSetUpPr fitToPage="1"/>
  </sheetPr>
  <dimension ref="A1:P31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A6" s="27"/>
      <c r="D6" s="699" t="s">
        <v>1857</v>
      </c>
      <c r="E6" s="699"/>
      <c r="F6" s="699"/>
      <c r="G6" s="699"/>
      <c r="H6" s="699"/>
      <c r="I6" s="699"/>
      <c r="J6" s="699"/>
      <c r="K6" s="699"/>
      <c r="L6" s="699"/>
      <c r="M6" s="699"/>
    </row>
    <row r="7" spans="1:16" ht="15" customHeight="1" x14ac:dyDescent="0.2">
      <c r="A7" s="27"/>
      <c r="H7" s="235"/>
      <c r="I7" s="27"/>
    </row>
    <row r="8" spans="1:16" ht="15" customHeight="1" x14ac:dyDescent="0.2">
      <c r="F8" s="266" t="s">
        <v>973</v>
      </c>
    </row>
    <row r="9" spans="1:16" ht="15" customHeight="1" x14ac:dyDescent="0.2">
      <c r="F9" s="266" t="s">
        <v>974</v>
      </c>
    </row>
    <row r="10" spans="1:16" ht="15" customHeight="1" x14ac:dyDescent="0.2">
      <c r="F10" s="266" t="s">
        <v>1345</v>
      </c>
    </row>
    <row r="11" spans="1:16" ht="15" customHeight="1" x14ac:dyDescent="0.2">
      <c r="F11" s="266" t="s">
        <v>975</v>
      </c>
    </row>
    <row r="12" spans="1:16" ht="15" customHeight="1" x14ac:dyDescent="0.2">
      <c r="F12" s="266" t="s">
        <v>720</v>
      </c>
    </row>
    <row r="13" spans="1:16" ht="15" customHeight="1" x14ac:dyDescent="0.2">
      <c r="F13" s="266" t="s">
        <v>1346</v>
      </c>
      <c r="J13" s="266" t="s">
        <v>381</v>
      </c>
    </row>
    <row r="14" spans="1:16" ht="15" customHeight="1" x14ac:dyDescent="0.2"/>
    <row r="15" spans="1:16" ht="15" customHeight="1" x14ac:dyDescent="0.2">
      <c r="E15" s="169" t="s">
        <v>1348</v>
      </c>
    </row>
    <row r="16" spans="1:16" ht="15" customHeight="1" x14ac:dyDescent="0.2">
      <c r="E16" s="266" t="s">
        <v>719</v>
      </c>
    </row>
    <row r="17" spans="1:9" ht="15" customHeight="1" x14ac:dyDescent="0.2">
      <c r="E17" s="266" t="s">
        <v>1347</v>
      </c>
    </row>
    <row r="18" spans="1:9" ht="15" customHeight="1" x14ac:dyDescent="0.2"/>
    <row r="19" spans="1:9" ht="15" customHeight="1" x14ac:dyDescent="0.2">
      <c r="E19" s="226"/>
      <c r="F19" s="76"/>
      <c r="G19" s="76"/>
      <c r="H19" s="292"/>
    </row>
    <row r="20" spans="1:9" ht="15" customHeight="1" x14ac:dyDescent="0.2"/>
    <row r="24" spans="1:9" s="60" customFormat="1" ht="15" hidden="1" customHeight="1" x14ac:dyDescent="0.2">
      <c r="A24" s="296"/>
      <c r="C24" s="296"/>
      <c r="D24" s="296"/>
      <c r="E24" s="296"/>
      <c r="F24" s="296"/>
      <c r="G24" s="296"/>
      <c r="H24" s="296"/>
      <c r="I24" s="296"/>
    </row>
    <row r="25" spans="1:9" s="60" customFormat="1" ht="15" hidden="1" customHeight="1" x14ac:dyDescent="0.2">
      <c r="A25" s="296"/>
      <c r="B25" s="267"/>
      <c r="C25" s="296"/>
      <c r="D25" s="296"/>
      <c r="E25" s="296"/>
      <c r="F25" s="296"/>
      <c r="G25" s="296"/>
      <c r="H25" s="296"/>
      <c r="I25" s="296"/>
    </row>
    <row r="26" spans="1:9" s="60" customFormat="1" ht="15" hidden="1" customHeight="1" x14ac:dyDescent="0.2">
      <c r="A26" s="296"/>
      <c r="B26" s="267"/>
      <c r="C26" s="296"/>
      <c r="D26" s="296"/>
      <c r="E26" s="296"/>
      <c r="G26" s="296"/>
      <c r="H26" s="296"/>
      <c r="I26" s="296"/>
    </row>
    <row r="27" spans="1:9" s="60" customFormat="1" ht="15" hidden="1" customHeight="1" x14ac:dyDescent="0.2">
      <c r="A27" s="296"/>
      <c r="B27" s="267"/>
      <c r="C27" s="296"/>
      <c r="D27" s="296"/>
      <c r="E27" s="296"/>
      <c r="F27" s="773"/>
      <c r="G27" s="773"/>
      <c r="H27" s="773"/>
      <c r="I27" s="296"/>
    </row>
    <row r="28" spans="1:9" s="60" customFormat="1" ht="15" hidden="1" customHeight="1" x14ac:dyDescent="0.2">
      <c r="A28" s="296"/>
      <c r="B28" s="267"/>
      <c r="C28" s="296"/>
      <c r="D28" s="296"/>
      <c r="E28" s="296"/>
      <c r="F28" s="296"/>
      <c r="G28" s="296"/>
      <c r="H28" s="296"/>
      <c r="I28" s="296"/>
    </row>
    <row r="29" spans="1:9" ht="15" hidden="1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</row>
    <row r="31" spans="1:9" s="60" customFormat="1" ht="15" hidden="1" customHeight="1" x14ac:dyDescent="0.2">
      <c r="B31" s="267"/>
      <c r="G31" s="266"/>
    </row>
  </sheetData>
  <sheetProtection algorithmName="SHA-512" hashValue="ygajzE66wz9SqOJIgU4v2ttKMiIL+Oh3z8yZLXbIkxMSEtru5WdYgqk65Ux891+NZ5UrB5Ho+IyMjJCE6EyZEQ==" saltValue="GiZ2rWemTNf9kh3nJX8laQ==" spinCount="100000" sheet="1" objects="1" scenarios="1"/>
  <mergeCells count="2">
    <mergeCell ref="F27:H27"/>
    <mergeCell ref="D6:M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6">
    <pageSetUpPr fitToPage="1"/>
  </sheetPr>
  <dimension ref="A1:X5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D6" s="699" t="s">
        <v>1987</v>
      </c>
      <c r="E6" s="699"/>
      <c r="F6" s="699"/>
      <c r="G6" s="699"/>
      <c r="H6" s="699"/>
      <c r="I6" s="699"/>
      <c r="J6" s="699"/>
      <c r="K6" s="699"/>
      <c r="L6" s="699"/>
      <c r="M6" s="699"/>
    </row>
    <row r="7" spans="1:24" ht="15" customHeight="1" x14ac:dyDescent="0.2"/>
    <row r="8" spans="1:24" s="287" customFormat="1" ht="15" customHeight="1" x14ac:dyDescent="0.25">
      <c r="C8" s="266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P8" s="266"/>
      <c r="Q8" s="266"/>
      <c r="R8" s="266"/>
    </row>
    <row r="9" spans="1:24" ht="15" customHeight="1" x14ac:dyDescent="0.2"/>
    <row r="10" spans="1:24" ht="15" customHeight="1" x14ac:dyDescent="0.2">
      <c r="D10" s="213" t="s">
        <v>656</v>
      </c>
      <c r="E10" s="213"/>
      <c r="G10" s="5">
        <v>40</v>
      </c>
      <c r="H10" s="265" t="s">
        <v>352</v>
      </c>
      <c r="I10" s="5">
        <v>40</v>
      </c>
      <c r="J10" s="265" t="s">
        <v>352</v>
      </c>
      <c r="K10" s="5">
        <v>40</v>
      </c>
      <c r="W10" s="256">
        <f>(G10*I10*K10)/1000</f>
        <v>64</v>
      </c>
      <c r="X10" s="49" t="s">
        <v>662</v>
      </c>
    </row>
    <row r="11" spans="1:24" ht="15" customHeight="1" x14ac:dyDescent="0.2">
      <c r="D11" s="34"/>
      <c r="E11" s="34"/>
      <c r="F11" s="34"/>
      <c r="G11" s="34"/>
    </row>
    <row r="12" spans="1:24" ht="15" customHeight="1" x14ac:dyDescent="0.2">
      <c r="D12" s="281" t="s">
        <v>1703</v>
      </c>
      <c r="E12" s="292"/>
      <c r="F12" s="296"/>
      <c r="G12" s="5">
        <v>4</v>
      </c>
      <c r="H12" s="356" t="s">
        <v>1953</v>
      </c>
    </row>
    <row r="13" spans="1:24" ht="15" customHeight="1" x14ac:dyDescent="0.2">
      <c r="D13" s="275"/>
      <c r="E13" s="292"/>
      <c r="F13" s="296"/>
      <c r="G13" s="5">
        <v>90</v>
      </c>
      <c r="H13" s="356" t="s">
        <v>1933</v>
      </c>
    </row>
    <row r="14" spans="1:24" ht="15" customHeight="1" x14ac:dyDescent="0.2">
      <c r="D14" s="275"/>
      <c r="F14" s="296"/>
      <c r="G14" s="5">
        <v>2</v>
      </c>
      <c r="H14" s="292" t="s">
        <v>1963</v>
      </c>
    </row>
    <row r="15" spans="1:24" ht="15" customHeight="1" x14ac:dyDescent="0.2">
      <c r="D15" s="275"/>
      <c r="E15" s="273"/>
      <c r="F15" s="283"/>
      <c r="G15" s="237">
        <v>30</v>
      </c>
      <c r="H15" s="356" t="s">
        <v>1929</v>
      </c>
      <c r="N15" s="49"/>
    </row>
    <row r="16" spans="1:24" ht="15" customHeight="1" x14ac:dyDescent="0.2">
      <c r="D16" s="275"/>
      <c r="E16" s="273"/>
      <c r="F16" s="275"/>
      <c r="G16" s="5">
        <v>7</v>
      </c>
      <c r="H16" s="356" t="s">
        <v>1934</v>
      </c>
      <c r="N16" s="49"/>
      <c r="W16" s="256">
        <f>IF(G14&lt;1,15,IF(AND(G14&gt;=1,G14&lt;3),10,IF(AND(G14&gt;=3,G14&lt;5),7,5)))</f>
        <v>10</v>
      </c>
      <c r="X16" s="49" t="s">
        <v>667</v>
      </c>
    </row>
    <row r="17" spans="4:24" ht="15" customHeight="1" x14ac:dyDescent="0.2">
      <c r="D17" s="275"/>
      <c r="E17" s="273"/>
      <c r="F17" s="275"/>
      <c r="G17" s="208"/>
      <c r="H17" s="290"/>
      <c r="N17" s="49"/>
      <c r="W17" s="256"/>
      <c r="X17" s="49"/>
    </row>
    <row r="18" spans="4:24" ht="15" customHeight="1" x14ac:dyDescent="0.2">
      <c r="D18" s="273" t="s">
        <v>340</v>
      </c>
      <c r="F18" s="283"/>
      <c r="G18" s="237">
        <v>80</v>
      </c>
      <c r="H18" s="290" t="s">
        <v>563</v>
      </c>
      <c r="N18" s="49"/>
      <c r="W18" s="350">
        <f>((((80-G12)/0.2)*W10)/1000)*2.3*5</f>
        <v>279.67999999999995</v>
      </c>
      <c r="X18" s="49" t="s">
        <v>664</v>
      </c>
    </row>
    <row r="19" spans="4:24" ht="15" customHeight="1" x14ac:dyDescent="0.2">
      <c r="D19" s="273"/>
      <c r="F19" s="283"/>
      <c r="G19" s="263"/>
      <c r="H19" s="290"/>
      <c r="N19" s="49"/>
      <c r="W19" s="350"/>
      <c r="X19" s="49"/>
    </row>
    <row r="20" spans="4:24" ht="15" customHeight="1" x14ac:dyDescent="0.25">
      <c r="D20" s="291" t="s">
        <v>371</v>
      </c>
      <c r="E20" s="34"/>
      <c r="F20" s="34"/>
      <c r="G20" s="34"/>
      <c r="W20" s="310">
        <f>IF(W18&gt;0,W18,0)</f>
        <v>279.67999999999995</v>
      </c>
      <c r="X20" s="266" t="s">
        <v>799</v>
      </c>
    </row>
    <row r="21" spans="4:24" ht="15" customHeight="1" x14ac:dyDescent="0.2">
      <c r="D21" s="169" t="s">
        <v>668</v>
      </c>
      <c r="G21" s="257">
        <f>W16</f>
        <v>10</v>
      </c>
      <c r="H21" s="266" t="s">
        <v>663</v>
      </c>
      <c r="N21" s="49"/>
      <c r="W21" s="353">
        <f>((80-G15)*G16)/G18</f>
        <v>4.375</v>
      </c>
      <c r="X21" s="49" t="s">
        <v>665</v>
      </c>
    </row>
    <row r="22" spans="4:24" ht="15" customHeight="1" x14ac:dyDescent="0.2">
      <c r="G22" s="276">
        <f>W20</f>
        <v>279.67999999999995</v>
      </c>
      <c r="H22" s="266" t="s">
        <v>659</v>
      </c>
      <c r="N22" s="49"/>
      <c r="W22" s="350">
        <f>(W21/2)*W10</f>
        <v>140</v>
      </c>
      <c r="X22" s="49" t="s">
        <v>666</v>
      </c>
    </row>
    <row r="23" spans="4:24" ht="15" customHeight="1" x14ac:dyDescent="0.2">
      <c r="G23" s="276">
        <f>W23</f>
        <v>140</v>
      </c>
      <c r="H23" s="266" t="s">
        <v>660</v>
      </c>
      <c r="N23" s="49"/>
      <c r="W23" s="350">
        <f>IF(W22&gt;0,W22,0)</f>
        <v>140</v>
      </c>
      <c r="X23" s="49" t="s">
        <v>800</v>
      </c>
    </row>
    <row r="24" spans="4:24" ht="15" customHeight="1" x14ac:dyDescent="0.2">
      <c r="G24" s="257">
        <v>20</v>
      </c>
      <c r="H24" s="266" t="s">
        <v>661</v>
      </c>
    </row>
    <row r="25" spans="4:24" ht="15" customHeight="1" x14ac:dyDescent="0.2">
      <c r="G25" s="257"/>
    </row>
    <row r="26" spans="4:24" ht="15" customHeight="1" x14ac:dyDescent="0.2">
      <c r="D26" s="169" t="s">
        <v>573</v>
      </c>
      <c r="G26" s="286">
        <f>IF(W26&gt;0,W26,0)</f>
        <v>2.625</v>
      </c>
      <c r="H26" s="266" t="s">
        <v>1143</v>
      </c>
      <c r="W26" s="396">
        <f>((60-G15)*G16)/G18</f>
        <v>2.625</v>
      </c>
      <c r="X26" s="266" t="s">
        <v>1131</v>
      </c>
    </row>
    <row r="27" spans="4:24" ht="15" customHeight="1" x14ac:dyDescent="0.2"/>
    <row r="28" spans="4:24" ht="15" customHeight="1" x14ac:dyDescent="0.2">
      <c r="D28" s="219" t="s">
        <v>1677</v>
      </c>
    </row>
    <row r="29" spans="4:24" ht="15" customHeight="1" x14ac:dyDescent="0.2">
      <c r="E29" s="49" t="str">
        <f>"1) 30 dias do plantio: 30 g/cova de "&amp;W30&amp;"."</f>
        <v>1) 30 dias do plantio: 30 g/cova de 20-00-15.</v>
      </c>
      <c r="L29" s="49"/>
      <c r="M29" s="49"/>
      <c r="N29" s="49"/>
    </row>
    <row r="30" spans="4:24" ht="15" customHeight="1" x14ac:dyDescent="0.2">
      <c r="E30" s="49" t="str">
        <f>"2) 60 dias do plantio: 40 g/cova de "&amp;W30&amp;"."</f>
        <v>2) 60 dias do plantio: 40 g/cova de 20-00-15.</v>
      </c>
      <c r="L30" s="49"/>
      <c r="M30" s="49"/>
      <c r="N30" s="49"/>
      <c r="W30" s="256" t="str">
        <f>IF(G13&lt;60,"20-00-20",IF(AND(G13&gt;=60,G13&lt;120),"20-00-15",IF(AND(G13&gt;=120,G13&lt;220),"20-00-10","Sulfato de Amônio")))</f>
        <v>20-00-15</v>
      </c>
    </row>
    <row r="31" spans="4:24" ht="15" customHeight="1" x14ac:dyDescent="0.2">
      <c r="E31" s="49" t="str">
        <f>"3) 90 dias do plantio: 50 g/cova de "&amp;W30&amp;"."</f>
        <v>3) 90 dias do plantio: 50 g/cova de 20-00-15.</v>
      </c>
      <c r="J31" s="266" t="s">
        <v>379</v>
      </c>
      <c r="L31" s="49"/>
      <c r="M31" s="49"/>
      <c r="N31" s="49"/>
    </row>
    <row r="32" spans="4:24" ht="15" customHeight="1" x14ac:dyDescent="0.2"/>
    <row r="33" spans="1:12" s="34" customFormat="1" ht="15" customHeight="1" x14ac:dyDescent="0.2">
      <c r="D33" s="219" t="s">
        <v>1964</v>
      </c>
    </row>
    <row r="34" spans="1:12" s="34" customFormat="1" ht="15" customHeight="1" x14ac:dyDescent="0.2">
      <c r="E34" s="49" t="str">
        <f>"1) Setembro:  80 g/cova de "&amp;W30&amp;"."</f>
        <v>1) Setembro:  80 g/cova de 20-00-15.</v>
      </c>
    </row>
    <row r="35" spans="1:12" ht="15" customHeight="1" x14ac:dyDescent="0.2">
      <c r="E35" s="49" t="str">
        <f>"2) Novembro:  90 g/cova de "&amp;W30&amp;"."</f>
        <v>2) Novembro:  90 g/cova de 20-00-15.</v>
      </c>
      <c r="G35" s="169"/>
    </row>
    <row r="36" spans="1:12" ht="15" customHeight="1" x14ac:dyDescent="0.2">
      <c r="E36" s="49" t="str">
        <f>"3) Janeiro:  100 g/cova de "&amp;W31&amp;"."</f>
        <v>3) Janeiro:  100 g/cova de .</v>
      </c>
      <c r="J36" s="266" t="s">
        <v>379</v>
      </c>
    </row>
    <row r="37" spans="1:12" ht="15" customHeight="1" x14ac:dyDescent="0.2">
      <c r="D37" s="49"/>
      <c r="G37" s="169"/>
    </row>
    <row r="38" spans="1:12" ht="15" customHeight="1" x14ac:dyDescent="0.2"/>
    <row r="39" spans="1:12" ht="15" customHeight="1" x14ac:dyDescent="0.2">
      <c r="G39" s="169"/>
    </row>
    <row r="40" spans="1:12" ht="15" customHeight="1" x14ac:dyDescent="0.2"/>
    <row r="41" spans="1:12" ht="15" customHeight="1" x14ac:dyDescent="0.2">
      <c r="D41" s="169"/>
    </row>
    <row r="42" spans="1:12" ht="15" customHeight="1" x14ac:dyDescent="0.2"/>
    <row r="43" spans="1:12" ht="15" customHeight="1" x14ac:dyDescent="0.2"/>
    <row r="44" spans="1:12" s="60" customFormat="1" ht="15" customHeight="1" x14ac:dyDescent="0.2">
      <c r="C44" s="296"/>
      <c r="D44" s="226" t="s">
        <v>891</v>
      </c>
      <c r="E44" s="771">
        <f ca="1">TODAY()</f>
        <v>45064</v>
      </c>
      <c r="F44" s="772"/>
      <c r="G44" s="296" t="s">
        <v>373</v>
      </c>
      <c r="I44" s="296"/>
      <c r="J44" s="296"/>
      <c r="K44" s="296"/>
      <c r="L44" s="296"/>
    </row>
    <row r="45" spans="1:12" s="60" customFormat="1" ht="15" customHeight="1" x14ac:dyDescent="0.2">
      <c r="C45" s="296"/>
      <c r="D45" s="267"/>
      <c r="E45" s="296"/>
      <c r="F45" s="296"/>
      <c r="G45" s="296"/>
      <c r="H45" s="296"/>
      <c r="I45" s="296"/>
      <c r="J45" s="296"/>
      <c r="K45" s="296"/>
      <c r="L45" s="296"/>
    </row>
    <row r="46" spans="1:12" s="60" customFormat="1" ht="15" hidden="1" customHeight="1" x14ac:dyDescent="0.2">
      <c r="C46" s="296"/>
      <c r="D46" s="267"/>
      <c r="E46" s="296"/>
      <c r="F46" s="296"/>
      <c r="G46" s="296"/>
      <c r="I46" s="296"/>
      <c r="J46" s="296"/>
      <c r="K46" s="296"/>
      <c r="L46" s="296"/>
    </row>
    <row r="47" spans="1:12" s="60" customFormat="1" ht="15" hidden="1" customHeight="1" x14ac:dyDescent="0.2">
      <c r="C47" s="296"/>
      <c r="D47" s="267"/>
      <c r="E47" s="296"/>
      <c r="F47" s="296"/>
      <c r="G47" s="296"/>
      <c r="H47" s="773"/>
      <c r="I47" s="773"/>
      <c r="J47" s="773"/>
      <c r="K47" s="773"/>
      <c r="L47" s="773"/>
    </row>
    <row r="48" spans="1:12" s="60" customFormat="1" ht="15" hidden="1" customHeight="1" x14ac:dyDescent="0.2">
      <c r="A48" s="296"/>
      <c r="B48" s="267"/>
      <c r="C48" s="296"/>
      <c r="D48" s="296"/>
      <c r="E48" s="296"/>
      <c r="F48" s="296"/>
      <c r="G48" s="296"/>
      <c r="H48" s="296"/>
      <c r="I48" s="296"/>
      <c r="J48" s="296"/>
    </row>
    <row r="49" spans="1:10" ht="15" hidden="1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15" hidden="1" customHeight="1" x14ac:dyDescent="0.2"/>
    <row r="51" spans="1:10" s="60" customFormat="1" ht="15" hidden="1" customHeight="1" x14ac:dyDescent="0.2">
      <c r="B51" s="267"/>
      <c r="G51" s="266"/>
    </row>
    <row r="52" spans="1:10" ht="15" hidden="1" customHeight="1" x14ac:dyDescent="0.2"/>
  </sheetData>
  <sheetProtection algorithmName="SHA-512" hashValue="k9rqAePfjSfpZA9e0NsbEQz6u7gRa6kxVdGfg0FBUMGO+ZveN7DfwxIuSgLMaznnyYDn0T5zM7UZJG8FAOFfBw==" saltValue="dtH/ua3XFPw5EVY3otPNpw==" spinCount="100000" sheet="1" objects="1" scenarios="1" selectLockedCells="1"/>
  <mergeCells count="4">
    <mergeCell ref="H47:L47"/>
    <mergeCell ref="E44:F44"/>
    <mergeCell ref="E8:M8"/>
    <mergeCell ref="D6:M6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orientation="portrait" horizontalDpi="360" verticalDpi="36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fitToPage="1"/>
  </sheetPr>
  <dimension ref="A1:P14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2.75" zeroHeight="1" x14ac:dyDescent="0.2"/>
  <cols>
    <col min="1" max="16" width="9.140625" style="28" customWidth="1"/>
    <col min="17" max="16384" width="9.140625" style="28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1"/>
      <c r="D6" s="61"/>
      <c r="E6" s="61"/>
      <c r="F6" s="699" t="s">
        <v>1852</v>
      </c>
      <c r="G6" s="699"/>
      <c r="H6" s="699"/>
      <c r="I6" s="699"/>
      <c r="J6" s="699"/>
      <c r="K6" s="62"/>
      <c r="L6" s="266"/>
      <c r="M6" s="266"/>
      <c r="N6" s="266"/>
    </row>
    <row r="7" spans="1:16" s="35" customFormat="1" ht="15" customHeight="1" thickBot="1" x14ac:dyDescent="0.4">
      <c r="J7" s="43"/>
    </row>
    <row r="8" spans="1:16" s="34" customFormat="1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s="34" customFormat="1" ht="24.95" customHeight="1" thickTop="1" thickBot="1" x14ac:dyDescent="0.25">
      <c r="F9" s="711" t="str">
        <f>HYPERLINK("#"&amp;"'Plantio2V70'!h1","Plantio")</f>
        <v>Plantio</v>
      </c>
      <c r="G9" s="711"/>
      <c r="H9" s="711"/>
      <c r="I9" s="711"/>
      <c r="J9" s="711"/>
    </row>
    <row r="10" spans="1:16" s="34" customFormat="1" ht="24.95" customHeight="1" thickTop="1" thickBot="1" x14ac:dyDescent="0.25">
      <c r="F10" s="711" t="str">
        <f>HYPERLINK("#"&amp;"'Abacate1a2'!h1","Formação - 1 a 2 anos")</f>
        <v>Formação - 1 a 2 anos</v>
      </c>
      <c r="G10" s="711"/>
      <c r="H10" s="711"/>
      <c r="I10" s="711"/>
      <c r="J10" s="711"/>
    </row>
    <row r="11" spans="1:16" s="34" customFormat="1" ht="24.95" customHeight="1" thickTop="1" thickBot="1" x14ac:dyDescent="0.25">
      <c r="F11" s="711" t="str">
        <f>HYPERLINK("#"&amp;"'Abacate2a3'!h1","Formação - 2 a 3 anos")</f>
        <v>Formação - 2 a 3 anos</v>
      </c>
      <c r="G11" s="711"/>
      <c r="H11" s="711"/>
      <c r="I11" s="711"/>
      <c r="J11" s="711"/>
    </row>
    <row r="12" spans="1:16" s="34" customFormat="1" ht="24.95" customHeight="1" thickTop="1" thickBot="1" x14ac:dyDescent="0.25">
      <c r="F12" s="711" t="str">
        <f>HYPERLINK("#"&amp;"'AbacateProd'!h1","Produção")</f>
        <v>Produção</v>
      </c>
      <c r="G12" s="711"/>
      <c r="H12" s="711"/>
      <c r="I12" s="711"/>
      <c r="J12" s="711"/>
    </row>
    <row r="13" spans="1:16" ht="15" customHeight="1" thickTop="1" x14ac:dyDescent="0.2"/>
    <row r="14" spans="1:16" ht="15" hidden="1" customHeight="1" x14ac:dyDescent="0.2"/>
  </sheetData>
  <sheetProtection algorithmName="SHA-512" hashValue="NJk9t5yzAG/wMmDWSYMTw3nyutWR6OZOZLgM7JBq6KkaqMRV7vn2Qyd8WG8sQaf4vgIKrnqKCLevVwzADkTzMA==" saltValue="iO5Yb0E9VdVLEQgEu8QcTA==" spinCount="100000" sheet="1" objects="1" scenarios="1"/>
  <mergeCells count="6">
    <mergeCell ref="F6:J6"/>
    <mergeCell ref="F11:J11"/>
    <mergeCell ref="F12:J12"/>
    <mergeCell ref="F8:J8"/>
    <mergeCell ref="F9:J9"/>
    <mergeCell ref="F10:J10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orientation="portrait" horizontalDpi="360" verticalDpi="36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pageSetUpPr fitToPage="1"/>
  </sheetPr>
  <dimension ref="A1:X54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1864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5">
      <c r="D10" s="164" t="s">
        <v>1858</v>
      </c>
      <c r="E10" s="34"/>
    </row>
    <row r="11" spans="1:16" ht="15" customHeight="1" x14ac:dyDescent="0.2">
      <c r="D11" s="34"/>
      <c r="E11" s="34"/>
    </row>
    <row r="12" spans="1:16" ht="15" customHeight="1" x14ac:dyDescent="0.2">
      <c r="D12" s="281" t="s">
        <v>338</v>
      </c>
      <c r="F12" s="281" t="s">
        <v>147</v>
      </c>
      <c r="G12" s="237">
        <v>90</v>
      </c>
      <c r="H12" s="290" t="s">
        <v>826</v>
      </c>
    </row>
    <row r="13" spans="1:16" ht="15" customHeight="1" x14ac:dyDescent="0.2"/>
    <row r="14" spans="1:16" ht="15" customHeight="1" x14ac:dyDescent="0.2">
      <c r="J14" s="316" t="s">
        <v>1860</v>
      </c>
      <c r="K14" s="257" t="str">
        <f>IF(G12&lt;60,"20-00-30",IF(AND(G12&gt;=60,G12&lt;120),"20-00-20",IF(AND(G12&gt;=120,G12&lt;200),"20-00-15",IF(AND(G12&gt;=200,G12&lt;280),"20-00-10","Sultato de Amônio"))))</f>
        <v>20-00-20</v>
      </c>
    </row>
    <row r="15" spans="1:16" ht="15" customHeight="1" x14ac:dyDescent="0.2">
      <c r="J15" s="316" t="s">
        <v>1861</v>
      </c>
      <c r="K15" s="257" t="str">
        <f>K14</f>
        <v>20-00-20</v>
      </c>
    </row>
    <row r="16" spans="1:16" ht="15" customHeight="1" x14ac:dyDescent="0.2">
      <c r="J16" s="316" t="s">
        <v>1862</v>
      </c>
      <c r="K16" s="257" t="str">
        <f>K14</f>
        <v>20-00-20</v>
      </c>
    </row>
    <row r="17" spans="4:24" ht="15" customHeight="1" x14ac:dyDescent="0.2"/>
    <row r="18" spans="4:24" ht="15" customHeight="1" x14ac:dyDescent="0.25">
      <c r="D18" s="164" t="s">
        <v>1054</v>
      </c>
      <c r="E18" s="34"/>
    </row>
    <row r="19" spans="4:24" ht="15" customHeight="1" x14ac:dyDescent="0.2"/>
    <row r="20" spans="4:24" ht="15" customHeight="1" x14ac:dyDescent="0.2">
      <c r="D20" s="281" t="s">
        <v>338</v>
      </c>
      <c r="F20" s="265" t="s">
        <v>1138</v>
      </c>
      <c r="G20" s="237">
        <v>5</v>
      </c>
      <c r="H20" s="49" t="s">
        <v>278</v>
      </c>
    </row>
    <row r="21" spans="4:24" ht="15" customHeight="1" x14ac:dyDescent="0.2">
      <c r="F21" s="265" t="s">
        <v>1125</v>
      </c>
      <c r="G21" s="237">
        <v>90</v>
      </c>
      <c r="H21" s="49" t="s">
        <v>278</v>
      </c>
    </row>
    <row r="22" spans="4:24" ht="15" customHeight="1" x14ac:dyDescent="0.2">
      <c r="W22" s="27"/>
      <c r="X22" s="27"/>
    </row>
    <row r="23" spans="4:24" ht="15" customHeight="1" x14ac:dyDescent="0.2">
      <c r="E23" s="225" t="s">
        <v>637</v>
      </c>
      <c r="F23" s="224">
        <f>W23*5</f>
        <v>500</v>
      </c>
      <c r="G23" s="280" t="s">
        <v>372</v>
      </c>
      <c r="H23" s="169" t="s">
        <v>1140</v>
      </c>
      <c r="W23" s="279" t="str">
        <f>IF(G20&lt;10,"100",IF(AND(G20&gt;=10,G20&lt;20),"80",IF(AND(G20&gt;=20,G20&lt;50),"40",0)))</f>
        <v>100</v>
      </c>
      <c r="X23" s="27" t="s">
        <v>649</v>
      </c>
    </row>
    <row r="24" spans="4:24" ht="15" customHeight="1" x14ac:dyDescent="0.2">
      <c r="E24" s="226" t="s">
        <v>1139</v>
      </c>
      <c r="F24" s="276">
        <f>((W24*5)/3)</f>
        <v>166.66666666666666</v>
      </c>
      <c r="G24" s="280" t="s">
        <v>372</v>
      </c>
      <c r="H24" s="277" t="str">
        <f>IF(G21&lt;60,"20-00-30",IF(AND(G21&gt;=60,G21&lt;120),"20-00-20",IF(AND(G21&gt;=120,G21&lt;200),"20-00-15",IF(AND(G21&gt;=200,G21&lt;280),"20-00-10","Sultato de Amônio"))))</f>
        <v>20-00-20</v>
      </c>
      <c r="W24" s="208">
        <v>100</v>
      </c>
      <c r="X24" s="27" t="s">
        <v>650</v>
      </c>
    </row>
    <row r="25" spans="4:24" ht="15" customHeight="1" x14ac:dyDescent="0.2">
      <c r="D25" s="275"/>
      <c r="E25" s="224"/>
      <c r="F25" s="280"/>
      <c r="W25" s="27"/>
      <c r="X25" s="27"/>
    </row>
    <row r="26" spans="4:24" s="281" customFormat="1" ht="15" customHeight="1" x14ac:dyDescent="0.25">
      <c r="D26" s="164" t="s">
        <v>636</v>
      </c>
      <c r="H26" s="283"/>
      <c r="I26" s="283"/>
      <c r="J26" s="283"/>
      <c r="K26" s="283"/>
      <c r="W26" s="220">
        <f xml:space="preserve"> G29*(70-G28)/G31</f>
        <v>3.5</v>
      </c>
      <c r="X26" s="27" t="s">
        <v>349</v>
      </c>
    </row>
    <row r="27" spans="4:24" s="281" customFormat="1" ht="15" customHeight="1" x14ac:dyDescent="0.2">
      <c r="D27" s="314"/>
      <c r="H27" s="283"/>
      <c r="I27" s="283"/>
      <c r="J27" s="283"/>
      <c r="K27" s="283"/>
      <c r="W27" s="289"/>
      <c r="X27" s="27"/>
    </row>
    <row r="28" spans="4:24" ht="15" customHeight="1" x14ac:dyDescent="0.2">
      <c r="D28" s="281" t="s">
        <v>338</v>
      </c>
      <c r="G28" s="237">
        <v>30</v>
      </c>
      <c r="H28" s="273" t="s">
        <v>1859</v>
      </c>
      <c r="I28" s="283"/>
      <c r="J28" s="283"/>
      <c r="K28" s="283"/>
      <c r="L28" s="283"/>
      <c r="M28" s="283"/>
      <c r="W28" s="27"/>
      <c r="X28" s="27"/>
    </row>
    <row r="29" spans="4:24" ht="15" customHeight="1" x14ac:dyDescent="0.2">
      <c r="D29" s="281"/>
      <c r="G29" s="5">
        <v>7</v>
      </c>
      <c r="H29" s="273" t="s">
        <v>1876</v>
      </c>
      <c r="I29" s="272"/>
      <c r="J29" s="272"/>
      <c r="K29" s="272"/>
      <c r="L29" s="283"/>
      <c r="M29" s="283"/>
    </row>
    <row r="30" spans="4:24" ht="15" customHeight="1" x14ac:dyDescent="0.2">
      <c r="D30" s="281"/>
      <c r="H30" s="49"/>
      <c r="J30" s="283"/>
      <c r="K30" s="283"/>
      <c r="L30" s="283"/>
      <c r="M30" s="283"/>
    </row>
    <row r="31" spans="4:24" ht="15" customHeight="1" x14ac:dyDescent="0.2">
      <c r="D31" s="273" t="s">
        <v>565</v>
      </c>
      <c r="E31" s="263"/>
      <c r="F31" s="283"/>
      <c r="G31" s="237">
        <v>80</v>
      </c>
      <c r="H31" s="49" t="s">
        <v>341</v>
      </c>
      <c r="I31" s="283"/>
      <c r="J31" s="283"/>
      <c r="K31" s="283"/>
      <c r="L31" s="283"/>
      <c r="M31" s="283"/>
    </row>
    <row r="32" spans="4:24" ht="15" customHeight="1" x14ac:dyDescent="0.2">
      <c r="D32" s="281"/>
      <c r="E32" s="281"/>
      <c r="F32" s="281"/>
      <c r="G32" s="281"/>
      <c r="H32" s="273"/>
      <c r="I32" s="281"/>
      <c r="J32" s="281"/>
      <c r="K32" s="281"/>
      <c r="L32" s="281"/>
      <c r="M32" s="281"/>
    </row>
    <row r="33" spans="2:13" ht="15" customHeight="1" x14ac:dyDescent="0.2">
      <c r="D33" s="273" t="s">
        <v>1708</v>
      </c>
      <c r="E33" s="283"/>
      <c r="G33" s="220">
        <f>IF(W26&gt;0,W26,0)</f>
        <v>3.5</v>
      </c>
      <c r="H33" s="273" t="s">
        <v>1877</v>
      </c>
      <c r="I33" s="281"/>
      <c r="J33" s="281"/>
      <c r="K33" s="281"/>
      <c r="L33" s="281"/>
      <c r="M33" s="281"/>
    </row>
    <row r="34" spans="2:13" s="281" customFormat="1" ht="15" customHeight="1" x14ac:dyDescent="0.2">
      <c r="D34" s="275"/>
      <c r="H34" s="283"/>
      <c r="I34" s="283"/>
      <c r="J34" s="283"/>
      <c r="K34" s="283"/>
      <c r="L34" s="283"/>
      <c r="M34" s="283"/>
    </row>
    <row r="35" spans="2:13" ht="15" customHeight="1" x14ac:dyDescent="0.2">
      <c r="D35" s="169"/>
      <c r="H35" s="272"/>
    </row>
    <row r="36" spans="2:13" ht="15" customHeight="1" x14ac:dyDescent="0.2">
      <c r="D36" s="169"/>
      <c r="H36" s="272"/>
    </row>
    <row r="37" spans="2:13" ht="15" customHeight="1" x14ac:dyDescent="0.2">
      <c r="D37" s="275"/>
      <c r="E37" s="224"/>
      <c r="F37" s="280"/>
    </row>
    <row r="38" spans="2:13" s="213" customFormat="1" ht="15" customHeight="1" x14ac:dyDescent="0.2">
      <c r="D38" s="266"/>
      <c r="H38" s="272"/>
    </row>
    <row r="39" spans="2:13" s="281" customFormat="1" ht="15" customHeight="1" x14ac:dyDescent="0.2">
      <c r="D39" s="275"/>
    </row>
    <row r="40" spans="2:13" s="281" customFormat="1" ht="15" customHeight="1" x14ac:dyDescent="0.2">
      <c r="D40" s="275"/>
    </row>
    <row r="41" spans="2:13" s="281" customFormat="1" ht="15" customHeight="1" x14ac:dyDescent="0.2">
      <c r="D41" s="273"/>
    </row>
    <row r="42" spans="2:13" s="281" customFormat="1" ht="15" customHeight="1" x14ac:dyDescent="0.2">
      <c r="D42" s="267"/>
      <c r="E42" s="267"/>
      <c r="F42" s="267"/>
      <c r="G42" s="267"/>
      <c r="H42" s="267"/>
      <c r="I42" s="267"/>
      <c r="J42" s="267"/>
      <c r="K42" s="267"/>
    </row>
    <row r="43" spans="2:13" s="60" customFormat="1" ht="15" customHeight="1" x14ac:dyDescent="0.2">
      <c r="D43" s="267"/>
    </row>
    <row r="44" spans="2:13" s="60" customFormat="1" ht="15" customHeight="1" x14ac:dyDescent="0.2">
      <c r="D44" s="226" t="s">
        <v>891</v>
      </c>
      <c r="E44" s="771">
        <f ca="1">TODAY()</f>
        <v>45064</v>
      </c>
      <c r="F44" s="772"/>
      <c r="G44" s="60" t="s">
        <v>373</v>
      </c>
    </row>
    <row r="45" spans="2:13" s="60" customFormat="1" ht="15" customHeight="1" x14ac:dyDescent="0.2">
      <c r="D45" s="267"/>
    </row>
    <row r="46" spans="2:13" s="60" customFormat="1" ht="15" hidden="1" customHeight="1" x14ac:dyDescent="0.2">
      <c r="C46" s="267"/>
      <c r="G46" s="714"/>
      <c r="H46" s="714"/>
      <c r="I46" s="714"/>
    </row>
    <row r="47" spans="2:13" s="60" customFormat="1" ht="15" hidden="1" customHeight="1" x14ac:dyDescent="0.2">
      <c r="C47" s="267"/>
    </row>
    <row r="48" spans="2:13" s="60" customFormat="1" ht="15" hidden="1" customHeight="1" x14ac:dyDescent="0.2">
      <c r="B48" s="267"/>
    </row>
    <row r="49" spans="2:8" s="60" customFormat="1" ht="15" hidden="1" customHeight="1" x14ac:dyDescent="0.2">
      <c r="B49" s="267"/>
    </row>
    <row r="50" spans="2:8" s="60" customFormat="1" ht="15" hidden="1" customHeight="1" x14ac:dyDescent="0.2">
      <c r="B50" s="267"/>
      <c r="G50" s="266"/>
      <c r="H50" s="111"/>
    </row>
    <row r="51" spans="2:8" s="60" customFormat="1" ht="15" hidden="1" customHeight="1" x14ac:dyDescent="0.2">
      <c r="B51" s="267"/>
    </row>
    <row r="52" spans="2:8" s="60" customFormat="1" ht="15" hidden="1" customHeight="1" x14ac:dyDescent="0.2">
      <c r="B52" s="267"/>
    </row>
    <row r="53" spans="2:8" s="60" customFormat="1" ht="15" hidden="1" customHeight="1" x14ac:dyDescent="0.2">
      <c r="B53" s="267"/>
    </row>
    <row r="54" spans="2:8" s="60" customFormat="1" ht="15" hidden="1" customHeight="1" x14ac:dyDescent="0.2">
      <c r="B54" s="266"/>
    </row>
  </sheetData>
  <sheetProtection algorithmName="SHA-512" hashValue="mWLjHLE1FQSpYvz5J9N/uq7OPVd//FQnldZv0VDQVdg/XPNOu8hQsN9jiKLv8bseSNOuVlST8hEtJbNdrsKvGA==" saltValue="woI4Xuamnh4YXh5Czl/ZOQ==" spinCount="100000" sheet="1" objects="1" scenarios="1" selectLockedCells="1"/>
  <mergeCells count="4">
    <mergeCell ref="E8:M8"/>
    <mergeCell ref="E44:F44"/>
    <mergeCell ref="G46:I46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fitToHeight="2" orientation="portrait" cellComments="atEnd" horizontalDpi="300" verticalDpi="300" r:id="rId1"/>
  <headerFooter alignWithMargins="0"/>
  <rowBreaks count="1" manualBreakCount="1">
    <brk id="45" min="1" max="10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X54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C6" s="699" t="s">
        <v>1863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4" ht="15" customHeight="1" x14ac:dyDescent="0.2">
      <c r="F7" s="235"/>
      <c r="G7" s="235"/>
      <c r="H7" s="235"/>
      <c r="I7" s="235"/>
      <c r="J7" s="235"/>
      <c r="K7" s="235"/>
    </row>
    <row r="8" spans="1:24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4" ht="15" customHeight="1" x14ac:dyDescent="0.2"/>
    <row r="10" spans="1:24" ht="15" customHeight="1" x14ac:dyDescent="0.25">
      <c r="D10" s="164" t="s">
        <v>1056</v>
      </c>
      <c r="E10" s="34"/>
    </row>
    <row r="11" spans="1:24" ht="15" customHeight="1" x14ac:dyDescent="0.2">
      <c r="H11" s="49"/>
      <c r="I11" s="49"/>
      <c r="J11" s="49"/>
    </row>
    <row r="12" spans="1:24" ht="15" customHeight="1" x14ac:dyDescent="0.2">
      <c r="D12" s="266" t="s">
        <v>338</v>
      </c>
      <c r="F12" s="361" t="s">
        <v>1138</v>
      </c>
      <c r="G12" s="3">
        <v>3</v>
      </c>
      <c r="H12" s="356" t="s">
        <v>278</v>
      </c>
      <c r="I12" s="49"/>
      <c r="J12" s="49"/>
    </row>
    <row r="13" spans="1:24" ht="15" customHeight="1" x14ac:dyDescent="0.2">
      <c r="F13" s="361" t="s">
        <v>1125</v>
      </c>
      <c r="G13" s="3">
        <v>120</v>
      </c>
      <c r="H13" s="356" t="s">
        <v>278</v>
      </c>
      <c r="I13" s="49"/>
      <c r="J13" s="49"/>
    </row>
    <row r="14" spans="1:24" ht="15" customHeight="1" x14ac:dyDescent="0.2">
      <c r="H14" s="49"/>
      <c r="I14" s="49"/>
      <c r="J14" s="49"/>
      <c r="W14" s="27"/>
      <c r="X14" s="27"/>
    </row>
    <row r="15" spans="1:24" ht="15" customHeight="1" x14ac:dyDescent="0.2">
      <c r="F15" s="316" t="s">
        <v>637</v>
      </c>
      <c r="G15" s="224">
        <f>W15*5</f>
        <v>1000</v>
      </c>
      <c r="H15" s="493" t="s">
        <v>372</v>
      </c>
      <c r="I15" s="169" t="s">
        <v>1695</v>
      </c>
      <c r="J15" s="49"/>
      <c r="W15" s="279" t="str">
        <f>IF(G12&lt;10,"200",IF(AND(G12&gt;=10,G12&lt;20),"160",IF(AND(G12&gt;=20,G12&lt;50),"80",0)))</f>
        <v>200</v>
      </c>
      <c r="X15" s="27" t="s">
        <v>649</v>
      </c>
    </row>
    <row r="16" spans="1:24" ht="15" customHeight="1" x14ac:dyDescent="0.2">
      <c r="F16" s="317" t="s">
        <v>1139</v>
      </c>
      <c r="G16" s="276">
        <f>(W16*5)/3</f>
        <v>333.33333333333331</v>
      </c>
      <c r="H16" s="493" t="s">
        <v>372</v>
      </c>
      <c r="I16" s="222" t="str">
        <f>IF(G13&lt;60,"20-00-30",IF(AND(G13&gt;=60,G13&lt;120),"20-00-20",IF(AND(G13&gt;=120,G13&lt;200),"20-00-15",IF(AND(G13&gt;=200,G13&lt;280),"20-00-10","Sultato de Amônio"))))</f>
        <v>20-00-15</v>
      </c>
      <c r="J16" s="49"/>
      <c r="W16" s="208">
        <v>200</v>
      </c>
      <c r="X16" s="27" t="s">
        <v>650</v>
      </c>
    </row>
    <row r="17" spans="3:24" ht="15" customHeight="1" x14ac:dyDescent="0.2">
      <c r="D17" s="275"/>
      <c r="E17" s="224"/>
      <c r="F17" s="280"/>
      <c r="H17" s="49"/>
      <c r="I17" s="49"/>
      <c r="J17" s="49"/>
      <c r="W17" s="27"/>
      <c r="X17" s="27"/>
    </row>
    <row r="18" spans="3:24" ht="15" customHeight="1" x14ac:dyDescent="0.25">
      <c r="D18" s="164" t="s">
        <v>1057</v>
      </c>
      <c r="E18" s="34"/>
      <c r="H18" s="171"/>
      <c r="I18" s="171"/>
      <c r="J18" s="26"/>
      <c r="K18" s="27"/>
      <c r="W18" s="27"/>
      <c r="X18" s="27"/>
    </row>
    <row r="19" spans="3:24" ht="15" customHeight="1" x14ac:dyDescent="0.2">
      <c r="H19" s="171"/>
      <c r="I19" s="171"/>
      <c r="J19" s="26"/>
      <c r="K19" s="27"/>
      <c r="W19" s="27"/>
      <c r="X19" s="27"/>
    </row>
    <row r="20" spans="3:24" ht="15" customHeight="1" x14ac:dyDescent="0.2">
      <c r="D20" s="281" t="s">
        <v>338</v>
      </c>
      <c r="F20" s="265" t="s">
        <v>1138</v>
      </c>
      <c r="G20" s="237">
        <v>5</v>
      </c>
      <c r="H20" s="49" t="s">
        <v>278</v>
      </c>
      <c r="I20" s="49"/>
      <c r="J20" s="49"/>
      <c r="W20" s="27"/>
      <c r="X20" s="27"/>
    </row>
    <row r="21" spans="3:24" ht="15" customHeight="1" x14ac:dyDescent="0.2">
      <c r="F21" s="265" t="s">
        <v>1125</v>
      </c>
      <c r="G21" s="237">
        <v>120</v>
      </c>
      <c r="H21" s="49" t="s">
        <v>278</v>
      </c>
      <c r="I21" s="49"/>
      <c r="J21" s="49"/>
      <c r="W21" s="27"/>
      <c r="X21" s="27"/>
    </row>
    <row r="22" spans="3:24" ht="15" customHeight="1" x14ac:dyDescent="0.2">
      <c r="H22" s="49"/>
      <c r="I22" s="49"/>
      <c r="J22" s="49"/>
      <c r="W22" s="27"/>
      <c r="X22" s="27"/>
    </row>
    <row r="23" spans="3:24" ht="15" customHeight="1" x14ac:dyDescent="0.2">
      <c r="F23" s="225" t="s">
        <v>637</v>
      </c>
      <c r="G23" s="224">
        <f>W23*5</f>
        <v>1500</v>
      </c>
      <c r="H23" s="280" t="s">
        <v>372</v>
      </c>
      <c r="I23" s="169" t="s">
        <v>1695</v>
      </c>
      <c r="J23" s="49"/>
      <c r="W23" s="279" t="str">
        <f>IF(G20&lt;10,"300",IF(AND(G20&gt;=10,G20&lt;20),"240",IF(AND(G20&gt;=20,G20&lt;50),"120",0)))</f>
        <v>300</v>
      </c>
      <c r="X23" s="27" t="s">
        <v>649</v>
      </c>
    </row>
    <row r="24" spans="3:24" ht="15" customHeight="1" x14ac:dyDescent="0.2">
      <c r="F24" s="226" t="s">
        <v>1139</v>
      </c>
      <c r="G24" s="276">
        <f>(W24*5)/3</f>
        <v>500</v>
      </c>
      <c r="H24" s="280" t="s">
        <v>372</v>
      </c>
      <c r="I24" s="222" t="str">
        <f>IF(G21&lt;60,"20-00-30",IF(AND(G21&gt;=60,G21&lt;120),"20-00-20",IF(AND(G21&gt;=120,G21&lt;200),"20-00-15",IF(AND(G21&gt;=200,G21&lt;280),"20-00-10","Sultato de Amônio"))))</f>
        <v>20-00-15</v>
      </c>
      <c r="J24" s="49"/>
      <c r="W24" s="208">
        <v>300</v>
      </c>
      <c r="X24" s="27" t="s">
        <v>650</v>
      </c>
    </row>
    <row r="25" spans="3:24" ht="15" customHeight="1" x14ac:dyDescent="0.2">
      <c r="D25" s="275"/>
      <c r="E25" s="224"/>
      <c r="F25" s="280"/>
      <c r="H25" s="49"/>
      <c r="I25" s="49"/>
      <c r="J25" s="49"/>
      <c r="W25" s="27"/>
      <c r="X25" s="27"/>
    </row>
    <row r="26" spans="3:24" s="281" customFormat="1" ht="15" customHeight="1" x14ac:dyDescent="0.25">
      <c r="D26" s="164" t="s">
        <v>636</v>
      </c>
      <c r="H26" s="273"/>
      <c r="I26" s="273"/>
      <c r="J26" s="273"/>
      <c r="K26" s="283"/>
      <c r="W26" s="283"/>
      <c r="X26" s="283"/>
    </row>
    <row r="27" spans="3:24" s="281" customFormat="1" ht="15" customHeight="1" x14ac:dyDescent="0.2">
      <c r="D27" s="314"/>
      <c r="H27" s="273"/>
      <c r="I27" s="273"/>
      <c r="J27" s="273"/>
      <c r="K27" s="283"/>
      <c r="W27" s="220">
        <f xml:space="preserve"> G29*(70-G28)/G31</f>
        <v>3.5</v>
      </c>
      <c r="X27" s="27" t="s">
        <v>349</v>
      </c>
    </row>
    <row r="28" spans="3:24" ht="15" customHeight="1" x14ac:dyDescent="0.2">
      <c r="D28" s="281" t="s">
        <v>338</v>
      </c>
      <c r="G28" s="237">
        <v>30</v>
      </c>
      <c r="H28" s="273" t="s">
        <v>1859</v>
      </c>
      <c r="I28" s="273"/>
      <c r="J28" s="49"/>
      <c r="K28" s="263"/>
      <c r="W28" s="289"/>
      <c r="X28" s="27"/>
    </row>
    <row r="29" spans="3:24" ht="15" customHeight="1" x14ac:dyDescent="0.2">
      <c r="D29" s="281"/>
      <c r="G29" s="5">
        <v>7</v>
      </c>
      <c r="H29" s="273" t="s">
        <v>1876</v>
      </c>
      <c r="I29" s="171"/>
      <c r="J29" s="49"/>
      <c r="K29" s="272"/>
      <c r="W29" s="283"/>
      <c r="X29" s="283"/>
    </row>
    <row r="30" spans="3:24" ht="15" customHeight="1" x14ac:dyDescent="0.2">
      <c r="C30" s="27"/>
      <c r="D30" s="283"/>
      <c r="E30" s="27"/>
      <c r="F30" s="27"/>
      <c r="G30" s="208"/>
      <c r="H30" s="273"/>
      <c r="I30" s="171"/>
      <c r="J30" s="26"/>
      <c r="K30" s="272"/>
      <c r="L30" s="27"/>
      <c r="O30" s="283"/>
      <c r="P30" s="283"/>
    </row>
    <row r="31" spans="3:24" ht="15" customHeight="1" x14ac:dyDescent="0.2">
      <c r="D31" s="273" t="s">
        <v>565</v>
      </c>
      <c r="G31" s="237">
        <v>80</v>
      </c>
      <c r="H31" s="49" t="s">
        <v>341</v>
      </c>
      <c r="I31" s="273"/>
      <c r="J31" s="49"/>
      <c r="K31" s="263"/>
      <c r="O31" s="283"/>
      <c r="P31" s="283"/>
    </row>
    <row r="32" spans="3:24" ht="15" customHeight="1" x14ac:dyDescent="0.2">
      <c r="D32" s="281"/>
      <c r="E32" s="263"/>
      <c r="F32" s="283"/>
      <c r="G32" s="283"/>
      <c r="H32" s="273"/>
      <c r="I32" s="273"/>
      <c r="J32" s="49"/>
      <c r="K32" s="263"/>
      <c r="M32" s="281"/>
    </row>
    <row r="33" spans="2:13" s="281" customFormat="1" ht="15" customHeight="1" x14ac:dyDescent="0.2">
      <c r="C33" s="266"/>
      <c r="D33" s="273" t="s">
        <v>1708</v>
      </c>
      <c r="E33" s="283"/>
      <c r="G33" s="220">
        <f>IF(W27&gt;0,W27,0)</f>
        <v>3.5</v>
      </c>
      <c r="H33" s="273" t="s">
        <v>1878</v>
      </c>
      <c r="I33" s="170"/>
      <c r="J33" s="170"/>
      <c r="M33" s="283"/>
    </row>
    <row r="34" spans="2:13" ht="15" customHeight="1" x14ac:dyDescent="0.2">
      <c r="C34" s="281"/>
      <c r="D34" s="275"/>
      <c r="E34" s="281"/>
      <c r="F34" s="281"/>
      <c r="G34" s="281"/>
      <c r="H34" s="283"/>
      <c r="I34" s="283"/>
      <c r="J34" s="283"/>
      <c r="K34" s="283"/>
      <c r="L34" s="283"/>
    </row>
    <row r="35" spans="2:13" ht="15" customHeight="1" x14ac:dyDescent="0.2">
      <c r="D35" s="169"/>
      <c r="H35" s="272"/>
    </row>
    <row r="36" spans="2:13" s="213" customFormat="1" ht="15" customHeight="1" x14ac:dyDescent="0.2">
      <c r="C36" s="266"/>
      <c r="D36" s="275"/>
      <c r="E36" s="224"/>
      <c r="F36" s="280"/>
      <c r="G36" s="266"/>
      <c r="H36" s="266"/>
      <c r="I36" s="266"/>
      <c r="J36" s="266"/>
      <c r="K36" s="266"/>
      <c r="L36" s="266"/>
    </row>
    <row r="37" spans="2:13" s="281" customFormat="1" ht="15" customHeight="1" x14ac:dyDescent="0.2">
      <c r="C37" s="213"/>
      <c r="D37" s="266"/>
      <c r="E37" s="213"/>
      <c r="F37" s="213"/>
      <c r="G37" s="213"/>
      <c r="H37" s="272"/>
      <c r="I37" s="213"/>
      <c r="J37" s="213"/>
      <c r="K37" s="213"/>
      <c r="L37" s="213"/>
    </row>
    <row r="38" spans="2:13" s="281" customFormat="1" ht="15" customHeight="1" x14ac:dyDescent="0.2">
      <c r="D38" s="275"/>
    </row>
    <row r="39" spans="2:13" s="281" customFormat="1" ht="15" customHeight="1" x14ac:dyDescent="0.2">
      <c r="D39" s="275"/>
    </row>
    <row r="40" spans="2:13" s="281" customFormat="1" ht="15" customHeight="1" x14ac:dyDescent="0.2">
      <c r="D40" s="273"/>
    </row>
    <row r="41" spans="2:13" s="60" customFormat="1" ht="15" customHeight="1" x14ac:dyDescent="0.2">
      <c r="C41" s="281"/>
      <c r="D41" s="267"/>
      <c r="E41" s="267"/>
      <c r="F41" s="267"/>
      <c r="G41" s="267"/>
      <c r="H41" s="267"/>
      <c r="I41" s="267"/>
      <c r="J41" s="267"/>
      <c r="K41" s="267"/>
      <c r="L41" s="281"/>
    </row>
    <row r="42" spans="2:13" s="60" customFormat="1" ht="15" customHeight="1" x14ac:dyDescent="0.2">
      <c r="D42" s="267"/>
    </row>
    <row r="43" spans="2:13" s="60" customFormat="1" ht="15" customHeight="1" x14ac:dyDescent="0.2">
      <c r="D43" s="267"/>
    </row>
    <row r="44" spans="2:13" s="60" customFormat="1" ht="15" customHeight="1" x14ac:dyDescent="0.2">
      <c r="D44" s="267"/>
    </row>
    <row r="45" spans="2:13" s="60" customFormat="1" ht="15" customHeight="1" x14ac:dyDescent="0.2">
      <c r="D45" s="226" t="s">
        <v>891</v>
      </c>
      <c r="E45" s="771">
        <f ca="1">TODAY()</f>
        <v>45064</v>
      </c>
      <c r="F45" s="772"/>
      <c r="G45" s="298" t="s">
        <v>1694</v>
      </c>
    </row>
    <row r="46" spans="2:13" s="60" customFormat="1" ht="15" customHeight="1" x14ac:dyDescent="0.2">
      <c r="B46" s="267"/>
      <c r="D46" s="267"/>
    </row>
    <row r="47" spans="2:13" s="60" customFormat="1" ht="15" hidden="1" customHeight="1" x14ac:dyDescent="0.2">
      <c r="B47" s="267"/>
    </row>
    <row r="48" spans="2:13" s="60" customFormat="1" ht="15" hidden="1" customHeight="1" x14ac:dyDescent="0.2">
      <c r="B48" s="267"/>
    </row>
    <row r="49" spans="2:12" s="60" customFormat="1" ht="15" hidden="1" customHeight="1" x14ac:dyDescent="0.2">
      <c r="B49" s="267"/>
    </row>
    <row r="50" spans="2:12" s="60" customFormat="1" ht="15" hidden="1" customHeight="1" x14ac:dyDescent="0.2">
      <c r="B50" s="267"/>
      <c r="G50" s="266"/>
    </row>
    <row r="51" spans="2:12" s="60" customFormat="1" ht="15" hidden="1" customHeight="1" x14ac:dyDescent="0.2">
      <c r="B51" s="267"/>
    </row>
    <row r="52" spans="2:12" s="60" customFormat="1" ht="15" hidden="1" customHeight="1" x14ac:dyDescent="0.2">
      <c r="B52" s="267"/>
    </row>
    <row r="53" spans="2:12" s="60" customFormat="1" ht="15" hidden="1" customHeight="1" x14ac:dyDescent="0.2">
      <c r="B53" s="266"/>
    </row>
    <row r="54" spans="2:12" ht="15" hidden="1" customHeight="1" x14ac:dyDescent="0.2"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sheetProtection algorithmName="SHA-512" hashValue="ZOf67TDcv6g8FsfgVBbryslsaqOJrhpXSLBhMOR6HRSWqKEvGjk443WigzUkr64gPGOPe+1LXR/OuM6b4PMw9g==" saltValue="vfv11evpY3KoBh1sM2z9mg==" spinCount="100000" sheet="1" objects="1" scenarios="1" selectLockedCells="1"/>
  <mergeCells count="3">
    <mergeCell ref="E45:F45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Y52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1865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E7" s="235"/>
      <c r="F7" s="235"/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164" customFormat="1" ht="15" customHeight="1" x14ac:dyDescent="0.25">
      <c r="D10" s="164" t="s">
        <v>1872</v>
      </c>
      <c r="E10" s="309"/>
      <c r="F10" s="309"/>
      <c r="G10" s="309"/>
    </row>
    <row r="11" spans="1:16" s="164" customFormat="1" ht="15" customHeight="1" x14ac:dyDescent="0.25">
      <c r="E11" s="309"/>
      <c r="F11" s="309"/>
      <c r="G11" s="309"/>
    </row>
    <row r="12" spans="1:16" ht="15" customHeight="1" x14ac:dyDescent="0.2">
      <c r="E12" s="355" t="s">
        <v>671</v>
      </c>
      <c r="F12" s="237">
        <v>8</v>
      </c>
      <c r="G12" s="298" t="s">
        <v>2063</v>
      </c>
      <c r="H12" s="237">
        <v>6</v>
      </c>
      <c r="I12" s="298" t="s">
        <v>2069</v>
      </c>
      <c r="J12" s="310">
        <f>10000/(F12*H12)</f>
        <v>208.33333333333334</v>
      </c>
      <c r="K12" s="281" t="s">
        <v>353</v>
      </c>
    </row>
    <row r="13" spans="1:16" ht="15" customHeight="1" x14ac:dyDescent="0.2">
      <c r="E13" s="263"/>
      <c r="F13" s="265"/>
      <c r="G13" s="263"/>
      <c r="H13" s="265"/>
      <c r="I13" s="265"/>
      <c r="J13" s="281"/>
    </row>
    <row r="14" spans="1:16" ht="15" customHeight="1" x14ac:dyDescent="0.2">
      <c r="D14" s="34"/>
      <c r="E14" s="34"/>
      <c r="F14" s="34"/>
      <c r="H14" s="275"/>
      <c r="I14" s="275"/>
      <c r="J14" s="222"/>
      <c r="K14" s="280"/>
      <c r="L14" s="27"/>
    </row>
    <row r="15" spans="1:16" s="60" customFormat="1" ht="15" customHeight="1" x14ac:dyDescent="0.2">
      <c r="D15" s="281" t="s">
        <v>338</v>
      </c>
      <c r="F15" s="256" t="s">
        <v>1138</v>
      </c>
      <c r="G15" s="237">
        <v>15</v>
      </c>
      <c r="H15" s="49" t="s">
        <v>278</v>
      </c>
      <c r="I15" s="266"/>
      <c r="J15" s="266"/>
      <c r="K15" s="266"/>
      <c r="L15" s="266"/>
      <c r="M15" s="266"/>
    </row>
    <row r="16" spans="1:16" s="60" customFormat="1" ht="15" customHeight="1" x14ac:dyDescent="0.2">
      <c r="D16" s="266"/>
      <c r="F16" s="256" t="s">
        <v>1125</v>
      </c>
      <c r="G16" s="237">
        <v>150</v>
      </c>
      <c r="H16" s="49" t="s">
        <v>278</v>
      </c>
      <c r="I16" s="266"/>
      <c r="J16" s="266"/>
      <c r="K16" s="266"/>
      <c r="L16" s="266"/>
      <c r="M16" s="266"/>
    </row>
    <row r="17" spans="4:25" s="60" customFormat="1" ht="15" customHeight="1" x14ac:dyDescent="0.2">
      <c r="D17" s="266"/>
      <c r="E17" s="263"/>
      <c r="F17" s="266"/>
      <c r="G17" s="271"/>
      <c r="H17" s="49"/>
      <c r="I17" s="266"/>
      <c r="J17" s="266"/>
      <c r="K17" s="266"/>
      <c r="L17" s="266"/>
      <c r="M17" s="266"/>
    </row>
    <row r="18" spans="4:25" s="60" customFormat="1" ht="15" customHeight="1" x14ac:dyDescent="0.2">
      <c r="D18" s="170" t="s">
        <v>655</v>
      </c>
      <c r="G18" s="237">
        <v>12</v>
      </c>
      <c r="H18" s="49" t="s">
        <v>349</v>
      </c>
      <c r="I18" s="266"/>
      <c r="J18" s="266"/>
      <c r="K18" s="266"/>
      <c r="L18" s="266"/>
      <c r="M18" s="266"/>
    </row>
    <row r="19" spans="4:25" s="60" customFormat="1" ht="15" customHeight="1" x14ac:dyDescent="0.2">
      <c r="D19" s="266"/>
      <c r="F19" s="263"/>
      <c r="G19" s="266"/>
      <c r="I19" s="266"/>
      <c r="J19" s="266"/>
      <c r="K19" s="266"/>
      <c r="L19" s="266"/>
      <c r="M19" s="266"/>
    </row>
    <row r="20" spans="4:25" s="60" customFormat="1" ht="15" customHeight="1" x14ac:dyDescent="0.2">
      <c r="D20" s="266"/>
      <c r="E20" s="265"/>
      <c r="F20" s="266"/>
      <c r="G20" s="266"/>
      <c r="H20" s="266"/>
      <c r="I20" s="266"/>
      <c r="J20" s="266"/>
      <c r="K20" s="266"/>
      <c r="L20" s="266"/>
      <c r="M20" s="266"/>
    </row>
    <row r="21" spans="4:25" ht="15" customHeight="1" x14ac:dyDescent="0.2">
      <c r="E21" s="225" t="s">
        <v>637</v>
      </c>
      <c r="F21" s="491">
        <f>1000*((W21*5)/J12)</f>
        <v>1920</v>
      </c>
      <c r="G21" s="280" t="s">
        <v>372</v>
      </c>
      <c r="H21" s="169" t="s">
        <v>1695</v>
      </c>
      <c r="W21" s="279" t="str">
        <f>IF(G15&lt;10,"100",IF(AND(G15&gt;=10,G15&lt;20),"80",IF(AND(G15&gt;=20,G15&lt;50),"40",0)))</f>
        <v>80</v>
      </c>
      <c r="X21" s="27" t="s">
        <v>651</v>
      </c>
      <c r="Y21" s="27"/>
    </row>
    <row r="22" spans="4:25" ht="15" customHeight="1" x14ac:dyDescent="0.2">
      <c r="E22" s="226" t="s">
        <v>1139</v>
      </c>
      <c r="F22" s="492">
        <f>1000*((W22*5)/J12)/3</f>
        <v>1439.9999999999998</v>
      </c>
      <c r="G22" s="280" t="s">
        <v>372</v>
      </c>
      <c r="H22" s="222" t="str">
        <f>IF(G16&lt;60,"20-00-30",IF(AND(G16&gt;=60,G16&lt;120),"20-00-20",IF(AND(G16&gt;=120,G16&lt;200),"20-00-15",IF(AND(G16&gt;=200,G16&lt;280),"20-00-10","Sultato de Amônio"))))</f>
        <v>20-00-15</v>
      </c>
      <c r="W22" s="208">
        <f>IF(G18&lt;6,100,IF(AND(G18&gt;=6,G18&lt;10),130,IF(AND(G18&gt;=10,G18&lt;20),180,240)))</f>
        <v>180</v>
      </c>
      <c r="X22" s="27" t="s">
        <v>652</v>
      </c>
      <c r="Y22" s="27"/>
    </row>
    <row r="23" spans="4:25" ht="15" customHeight="1" x14ac:dyDescent="0.2">
      <c r="D23" s="275"/>
      <c r="E23" s="224"/>
      <c r="F23" s="280"/>
      <c r="W23" s="27"/>
      <c r="X23" s="27"/>
      <c r="Y23" s="27"/>
    </row>
    <row r="24" spans="4:25" s="281" customFormat="1" ht="15" customHeight="1" x14ac:dyDescent="0.25">
      <c r="D24" s="360" t="s">
        <v>1871</v>
      </c>
      <c r="H24" s="283"/>
      <c r="I24" s="283"/>
      <c r="J24" s="283"/>
      <c r="K24" s="283"/>
      <c r="W24" s="283"/>
      <c r="X24" s="283"/>
      <c r="Y24" s="283"/>
    </row>
    <row r="25" spans="4:25" s="281" customFormat="1" ht="15" customHeight="1" x14ac:dyDescent="0.2">
      <c r="D25" s="314"/>
      <c r="H25" s="283"/>
      <c r="I25" s="283"/>
      <c r="J25" s="283"/>
      <c r="K25" s="283"/>
      <c r="W25" s="220">
        <f xml:space="preserve"> G27*(70-G26)/G29</f>
        <v>3.8888888888888888</v>
      </c>
      <c r="X25" s="27" t="s">
        <v>349</v>
      </c>
      <c r="Y25" s="283"/>
    </row>
    <row r="26" spans="4:25" ht="15" customHeight="1" x14ac:dyDescent="0.2">
      <c r="D26" s="281" t="s">
        <v>338</v>
      </c>
      <c r="G26" s="237">
        <v>20</v>
      </c>
      <c r="H26" s="273" t="s">
        <v>1879</v>
      </c>
      <c r="I26" s="283"/>
      <c r="J26" s="283"/>
      <c r="K26" s="263"/>
      <c r="W26" s="289"/>
      <c r="X26" s="27"/>
      <c r="Y26" s="27"/>
    </row>
    <row r="27" spans="4:25" ht="15" customHeight="1" x14ac:dyDescent="0.3">
      <c r="D27" s="281"/>
      <c r="G27" s="5">
        <v>7</v>
      </c>
      <c r="H27" s="273" t="s">
        <v>1880</v>
      </c>
      <c r="I27" s="272"/>
      <c r="J27" s="272"/>
      <c r="K27" s="272"/>
      <c r="L27" s="283"/>
      <c r="M27" s="283"/>
    </row>
    <row r="28" spans="4:25" ht="15" customHeight="1" x14ac:dyDescent="0.2">
      <c r="D28" s="281"/>
      <c r="F28" s="281"/>
      <c r="G28" s="281"/>
      <c r="H28" s="273"/>
      <c r="I28" s="283"/>
      <c r="J28" s="272"/>
      <c r="K28" s="272"/>
      <c r="L28" s="283"/>
      <c r="M28" s="283"/>
    </row>
    <row r="29" spans="4:25" ht="15" customHeight="1" x14ac:dyDescent="0.2">
      <c r="D29" s="273" t="s">
        <v>565</v>
      </c>
      <c r="G29" s="237">
        <v>90</v>
      </c>
      <c r="H29" s="49" t="s">
        <v>341</v>
      </c>
      <c r="I29" s="283"/>
      <c r="J29" s="283"/>
      <c r="K29" s="263"/>
      <c r="L29" s="283"/>
      <c r="M29" s="283"/>
    </row>
    <row r="30" spans="4:25" ht="15" customHeight="1" x14ac:dyDescent="0.2">
      <c r="D30" s="281"/>
      <c r="E30" s="263"/>
      <c r="F30" s="283"/>
      <c r="G30" s="283"/>
      <c r="H30" s="273"/>
      <c r="I30" s="283"/>
      <c r="J30" s="283"/>
      <c r="K30" s="263"/>
      <c r="L30" s="283"/>
      <c r="M30" s="283"/>
    </row>
    <row r="31" spans="4:25" s="281" customFormat="1" ht="15" customHeight="1" x14ac:dyDescent="0.2">
      <c r="D31" s="273" t="s">
        <v>1708</v>
      </c>
      <c r="E31" s="266"/>
      <c r="G31" s="220">
        <f>IF(W25&gt;0,W25,0)</f>
        <v>3.8888888888888888</v>
      </c>
      <c r="H31" s="273" t="s">
        <v>1878</v>
      </c>
      <c r="N31" s="266"/>
    </row>
    <row r="32" spans="4:25" ht="15" customHeight="1" x14ac:dyDescent="0.2">
      <c r="D32" s="275"/>
      <c r="E32" s="281"/>
      <c r="F32" s="281"/>
      <c r="G32" s="281"/>
      <c r="H32" s="283"/>
      <c r="I32" s="283"/>
      <c r="J32" s="283"/>
      <c r="K32" s="283"/>
      <c r="L32" s="283"/>
      <c r="M32" s="283"/>
      <c r="N32" s="281"/>
    </row>
    <row r="33" spans="2:14" ht="15" customHeight="1" x14ac:dyDescent="0.2">
      <c r="D33" s="169"/>
      <c r="H33" s="272"/>
    </row>
    <row r="34" spans="2:14" s="213" customFormat="1" ht="15" customHeight="1" x14ac:dyDescent="0.2">
      <c r="D34" s="275"/>
      <c r="E34" s="224"/>
      <c r="F34" s="280"/>
      <c r="G34" s="266"/>
      <c r="H34" s="266"/>
      <c r="I34" s="266"/>
      <c r="J34" s="266"/>
      <c r="K34" s="266"/>
      <c r="L34" s="266"/>
      <c r="M34" s="266"/>
      <c r="N34" s="266"/>
    </row>
    <row r="35" spans="2:14" s="281" customFormat="1" ht="15" customHeight="1" x14ac:dyDescent="0.2">
      <c r="D35" s="266"/>
      <c r="E35" s="213"/>
      <c r="F35" s="213"/>
      <c r="G35" s="213"/>
      <c r="H35" s="272"/>
      <c r="I35" s="213"/>
      <c r="J35" s="213"/>
      <c r="K35" s="213"/>
      <c r="L35" s="213"/>
      <c r="M35" s="213"/>
      <c r="N35" s="213"/>
    </row>
    <row r="36" spans="2:14" s="281" customFormat="1" ht="15" customHeight="1" x14ac:dyDescent="0.2">
      <c r="D36" s="275"/>
    </row>
    <row r="37" spans="2:14" s="281" customFormat="1" ht="15" customHeight="1" x14ac:dyDescent="0.2">
      <c r="D37" s="275"/>
    </row>
    <row r="38" spans="2:14" s="281" customFormat="1" ht="15" customHeight="1" x14ac:dyDescent="0.2">
      <c r="D38" s="273"/>
    </row>
    <row r="39" spans="2:14" s="60" customFormat="1" ht="15" customHeight="1" x14ac:dyDescent="0.2">
      <c r="D39" s="774"/>
      <c r="E39" s="774"/>
      <c r="F39" s="774"/>
      <c r="G39" s="774"/>
      <c r="H39" s="774"/>
      <c r="I39" s="774"/>
      <c r="J39" s="774"/>
      <c r="K39" s="774"/>
      <c r="L39" s="281"/>
      <c r="M39" s="281"/>
      <c r="N39" s="281"/>
    </row>
    <row r="40" spans="2:14" s="60" customFormat="1" ht="15" customHeight="1" x14ac:dyDescent="0.2">
      <c r="D40" s="267"/>
    </row>
    <row r="41" spans="2:14" s="60" customFormat="1" ht="15" customHeight="1" x14ac:dyDescent="0.2">
      <c r="D41" s="169"/>
      <c r="E41" s="266"/>
      <c r="F41" s="266"/>
      <c r="G41" s="266"/>
      <c r="H41" s="272"/>
      <c r="I41" s="266"/>
      <c r="J41" s="266"/>
      <c r="K41" s="266"/>
      <c r="L41" s="266"/>
      <c r="M41" s="266"/>
      <c r="N41" s="266"/>
    </row>
    <row r="42" spans="2:14" s="60" customFormat="1" ht="15" customHeight="1" x14ac:dyDescent="0.2">
      <c r="D42" s="226" t="s">
        <v>891</v>
      </c>
      <c r="E42" s="771">
        <f ca="1">TODAY()</f>
        <v>45064</v>
      </c>
      <c r="F42" s="772"/>
      <c r="G42" s="60" t="s">
        <v>373</v>
      </c>
    </row>
    <row r="43" spans="2:14" s="60" customFormat="1" ht="15" customHeight="1" x14ac:dyDescent="0.2">
      <c r="D43" s="267"/>
    </row>
    <row r="44" spans="2:14" s="60" customFormat="1" ht="15" hidden="1" customHeight="1" x14ac:dyDescent="0.2">
      <c r="D44" s="267"/>
    </row>
    <row r="45" spans="2:14" s="60" customFormat="1" ht="15" hidden="1" customHeight="1" x14ac:dyDescent="0.2">
      <c r="D45" s="267"/>
    </row>
    <row r="46" spans="2:14" s="60" customFormat="1" ht="15" hidden="1" customHeight="1" x14ac:dyDescent="0.2">
      <c r="B46" s="267"/>
      <c r="D46" s="267"/>
    </row>
    <row r="47" spans="2:14" s="60" customFormat="1" ht="15" hidden="1" customHeight="1" x14ac:dyDescent="0.2">
      <c r="B47" s="267"/>
      <c r="G47" s="266"/>
    </row>
    <row r="48" spans="2:14" s="60" customFormat="1" ht="15" hidden="1" customHeight="1" x14ac:dyDescent="0.2">
      <c r="B48" s="267"/>
    </row>
    <row r="49" spans="2:14" s="60" customFormat="1" ht="15" hidden="1" customHeight="1" x14ac:dyDescent="0.2">
      <c r="B49" s="267"/>
    </row>
    <row r="50" spans="2:14" s="60" customFormat="1" ht="15" hidden="1" customHeight="1" x14ac:dyDescent="0.2">
      <c r="B50" s="266"/>
    </row>
    <row r="51" spans="2:14" ht="15" hidden="1" customHeight="1" x14ac:dyDescent="0.2"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  <row r="52" spans="2:14" ht="15" hidden="1" customHeight="1" x14ac:dyDescent="0.2"/>
  </sheetData>
  <sheetProtection algorithmName="SHA-512" hashValue="eXsSQYYwLBKYjpVKf+9nVQaTPSdrmThhoYcHcOKUTync2/Zhrnll59nn6V1SqRnFYL/tVSxoIFbpyanTNyVvZA==" saltValue="da09SxTUxTy9klf+/RF6dg==" spinCount="100000" sheet="1" objects="1" scenarios="1" selectLockedCells="1"/>
  <mergeCells count="4">
    <mergeCell ref="D39:K39"/>
    <mergeCell ref="E42:F42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Y50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1867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G7" s="235"/>
      <c r="H7" s="235"/>
      <c r="I7" s="235"/>
      <c r="J7" s="235"/>
      <c r="K7" s="235"/>
      <c r="L7" s="235"/>
      <c r="M7" s="235"/>
      <c r="N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305" customFormat="1" ht="15" customHeight="1" x14ac:dyDescent="0.2"/>
    <row r="11" spans="1:16" s="305" customFormat="1" ht="15" customHeight="1" x14ac:dyDescent="0.2">
      <c r="D11" s="305" t="s">
        <v>1208</v>
      </c>
    </row>
    <row r="12" spans="1:16" s="305" customFormat="1" ht="15" customHeight="1" x14ac:dyDescent="0.2">
      <c r="F12" s="477" t="s">
        <v>802</v>
      </c>
      <c r="G12" s="5">
        <v>0.4</v>
      </c>
      <c r="H12" s="170" t="s">
        <v>337</v>
      </c>
      <c r="I12" s="490">
        <f>10000/(((G12+G13)*G14)/2)</f>
        <v>41666.666666666672</v>
      </c>
      <c r="J12" s="170" t="s">
        <v>1205</v>
      </c>
    </row>
    <row r="13" spans="1:16" s="305" customFormat="1" ht="15" customHeight="1" x14ac:dyDescent="0.2">
      <c r="F13" s="477" t="s">
        <v>803</v>
      </c>
      <c r="G13" s="5">
        <v>1.2</v>
      </c>
      <c r="H13" s="170" t="s">
        <v>337</v>
      </c>
      <c r="I13" s="170"/>
      <c r="J13" s="170"/>
    </row>
    <row r="14" spans="1:16" s="305" customFormat="1" ht="15" customHeight="1" x14ac:dyDescent="0.2">
      <c r="F14" s="477" t="s">
        <v>804</v>
      </c>
      <c r="G14" s="5">
        <v>0.3</v>
      </c>
      <c r="H14" s="170" t="s">
        <v>337</v>
      </c>
      <c r="I14" s="170"/>
      <c r="J14" s="170"/>
    </row>
    <row r="15" spans="1:16" ht="15" customHeight="1" x14ac:dyDescent="0.2">
      <c r="F15" s="265"/>
      <c r="G15" s="271"/>
      <c r="H15" s="49"/>
      <c r="I15" s="49"/>
      <c r="J15" s="49"/>
    </row>
    <row r="16" spans="1:16" ht="15" customHeight="1" x14ac:dyDescent="0.2">
      <c r="D16" s="266" t="s">
        <v>338</v>
      </c>
      <c r="G16" s="237">
        <v>5</v>
      </c>
      <c r="H16" s="49" t="s">
        <v>1873</v>
      </c>
      <c r="I16" s="49"/>
      <c r="J16" s="49"/>
    </row>
    <row r="17" spans="4:25" ht="15" customHeight="1" x14ac:dyDescent="0.2">
      <c r="G17" s="237">
        <v>90</v>
      </c>
      <c r="H17" s="49" t="s">
        <v>1874</v>
      </c>
      <c r="I17" s="49"/>
      <c r="J17" s="49"/>
    </row>
    <row r="18" spans="4:25" ht="15" customHeight="1" x14ac:dyDescent="0.3">
      <c r="G18" s="237">
        <v>9</v>
      </c>
      <c r="H18" s="49" t="s">
        <v>1875</v>
      </c>
      <c r="I18" s="49"/>
      <c r="J18" s="49"/>
    </row>
    <row r="19" spans="4:25" ht="15" customHeight="1" x14ac:dyDescent="0.2">
      <c r="G19" s="237">
        <v>20</v>
      </c>
      <c r="H19" s="49" t="s">
        <v>339</v>
      </c>
      <c r="I19" s="49"/>
      <c r="J19" s="49"/>
    </row>
    <row r="20" spans="4:25" ht="15" customHeight="1" x14ac:dyDescent="0.2">
      <c r="F20" s="265"/>
      <c r="G20" s="290"/>
      <c r="H20" s="49"/>
      <c r="I20" s="49"/>
      <c r="J20" s="49"/>
      <c r="W20" s="49"/>
      <c r="X20" s="49"/>
      <c r="Y20" s="49"/>
    </row>
    <row r="21" spans="4:25" ht="15" customHeight="1" x14ac:dyDescent="0.2">
      <c r="D21" s="266" t="s">
        <v>340</v>
      </c>
      <c r="G21" s="237">
        <v>80</v>
      </c>
      <c r="H21" s="49" t="s">
        <v>341</v>
      </c>
      <c r="I21" s="49"/>
      <c r="J21" s="49"/>
      <c r="W21" s="26"/>
      <c r="X21" s="26"/>
      <c r="Y21" s="26"/>
    </row>
    <row r="22" spans="4:25" ht="15" customHeight="1" x14ac:dyDescent="0.2">
      <c r="H22" s="49"/>
      <c r="I22" s="49"/>
      <c r="J22" s="49"/>
      <c r="W22" s="171" t="str">
        <f>IF(G16&lt;20,"10",IF(AND(G16&gt;=20,G16&lt;40),"5",IF(AND(G16&gt;=40,G16&lt;60),"3",0)))</f>
        <v>10</v>
      </c>
      <c r="X22" s="26" t="s">
        <v>380</v>
      </c>
      <c r="Y22" s="26"/>
    </row>
    <row r="23" spans="4:25" ht="15" customHeight="1" x14ac:dyDescent="0.25">
      <c r="D23" s="291" t="s">
        <v>371</v>
      </c>
      <c r="E23" s="291"/>
      <c r="F23" s="291"/>
      <c r="G23" s="291"/>
      <c r="H23" s="302"/>
      <c r="I23" s="26"/>
      <c r="J23" s="49"/>
      <c r="W23" s="26"/>
      <c r="X23" s="26"/>
      <c r="Y23" s="26"/>
    </row>
    <row r="24" spans="4:25" ht="15" customHeight="1" x14ac:dyDescent="0.2">
      <c r="D24" s="298" t="s">
        <v>1708</v>
      </c>
      <c r="F24" s="267"/>
      <c r="G24" s="257">
        <f>IF(W24&gt;0,W24,0)</f>
        <v>4.5</v>
      </c>
      <c r="H24" s="357" t="s">
        <v>349</v>
      </c>
      <c r="I24" s="49"/>
      <c r="J24" s="49"/>
      <c r="W24" s="315">
        <f xml:space="preserve"> G18*(60-G19)/G21</f>
        <v>4.5</v>
      </c>
      <c r="X24" s="273" t="s">
        <v>119</v>
      </c>
      <c r="Y24" s="26"/>
    </row>
    <row r="25" spans="4:25" ht="15" customHeight="1" x14ac:dyDescent="0.2">
      <c r="H25" s="256"/>
      <c r="I25" s="49"/>
      <c r="J25" s="49"/>
      <c r="K25" s="213"/>
      <c r="L25" s="213"/>
      <c r="N25" s="213"/>
      <c r="W25" s="26"/>
      <c r="X25" s="26"/>
      <c r="Y25" s="26"/>
    </row>
    <row r="26" spans="4:25" ht="15" customHeight="1" x14ac:dyDescent="0.2">
      <c r="D26" s="49" t="s">
        <v>1696</v>
      </c>
      <c r="G26" s="224">
        <f>(W22*5)</f>
        <v>50</v>
      </c>
      <c r="H26" s="49" t="s">
        <v>1316</v>
      </c>
      <c r="I26" s="256"/>
      <c r="J26" s="49"/>
      <c r="W26" s="26"/>
      <c r="X26" s="26"/>
      <c r="Y26" s="26"/>
    </row>
    <row r="27" spans="4:25" ht="15" customHeight="1" x14ac:dyDescent="0.2">
      <c r="G27" s="224">
        <v>2</v>
      </c>
      <c r="H27" s="49" t="s">
        <v>1317</v>
      </c>
      <c r="I27" s="171"/>
      <c r="J27" s="49"/>
      <c r="L27" s="208"/>
      <c r="O27" s="263"/>
    </row>
    <row r="28" spans="4:25" ht="15" customHeight="1" x14ac:dyDescent="0.2">
      <c r="H28" s="49"/>
      <c r="I28" s="325"/>
      <c r="J28" s="49"/>
      <c r="K28" s="271"/>
    </row>
    <row r="29" spans="4:25" ht="15" customHeight="1" x14ac:dyDescent="0.2">
      <c r="D29" s="266" t="s">
        <v>342</v>
      </c>
      <c r="H29" s="49"/>
      <c r="I29" s="49"/>
      <c r="J29" s="49"/>
      <c r="N29" s="265"/>
    </row>
    <row r="30" spans="4:25" ht="15" customHeight="1" x14ac:dyDescent="0.2">
      <c r="F30" s="225" t="s">
        <v>549</v>
      </c>
      <c r="G30" s="224">
        <v>20</v>
      </c>
      <c r="H30" s="170" t="s">
        <v>558</v>
      </c>
      <c r="I30" s="277" t="str">
        <f>IF(G17&lt;60,"20-00-30",IF(AND(G17&gt;=60,G17&lt;120),"20-00-20",IF(AND(G17&gt;=120,G17&lt;200),"20-00-15",IF(AND(G17&gt;=200,G17&lt;280),"20-00-10","Sulf.de Amônio"))))</f>
        <v>20-00-20</v>
      </c>
      <c r="J30" s="49"/>
      <c r="N30" s="263"/>
    </row>
    <row r="31" spans="4:25" ht="15" customHeight="1" x14ac:dyDescent="0.2">
      <c r="F31" s="225" t="s">
        <v>550</v>
      </c>
      <c r="G31" s="224">
        <v>25</v>
      </c>
      <c r="H31" s="49" t="s">
        <v>558</v>
      </c>
      <c r="I31" s="277" t="str">
        <f>I30</f>
        <v>20-00-20</v>
      </c>
      <c r="J31" s="49"/>
      <c r="N31" s="263"/>
    </row>
    <row r="32" spans="4:25" ht="15" customHeight="1" x14ac:dyDescent="0.2">
      <c r="F32" s="225" t="s">
        <v>551</v>
      </c>
      <c r="G32" s="224">
        <v>30</v>
      </c>
      <c r="H32" s="49" t="s">
        <v>558</v>
      </c>
      <c r="I32" s="277" t="str">
        <f>I30</f>
        <v>20-00-20</v>
      </c>
      <c r="J32" s="49"/>
    </row>
    <row r="33" spans="2:7" ht="15" customHeight="1" x14ac:dyDescent="0.2"/>
    <row r="34" spans="2:7" ht="15" customHeight="1" x14ac:dyDescent="0.2"/>
    <row r="35" spans="2:7" ht="15" customHeight="1" x14ac:dyDescent="0.2"/>
    <row r="36" spans="2:7" ht="15" customHeight="1" x14ac:dyDescent="0.2"/>
    <row r="37" spans="2:7" ht="15" customHeight="1" x14ac:dyDescent="0.2"/>
    <row r="38" spans="2:7" ht="15" customHeight="1" x14ac:dyDescent="0.2"/>
    <row r="39" spans="2:7" ht="15" customHeight="1" x14ac:dyDescent="0.2"/>
    <row r="40" spans="2:7" s="60" customFormat="1" ht="15" customHeight="1" x14ac:dyDescent="0.2">
      <c r="D40" s="226" t="s">
        <v>891</v>
      </c>
      <c r="E40" s="771">
        <f ca="1">TODAY()</f>
        <v>45064</v>
      </c>
      <c r="F40" s="772"/>
      <c r="G40" s="60" t="s">
        <v>892</v>
      </c>
    </row>
    <row r="41" spans="2:7" s="60" customFormat="1" ht="15" customHeight="1" x14ac:dyDescent="0.2">
      <c r="D41" s="267"/>
    </row>
    <row r="42" spans="2:7" s="60" customFormat="1" ht="15" hidden="1" customHeight="1" x14ac:dyDescent="0.2">
      <c r="D42" s="267"/>
    </row>
    <row r="43" spans="2:7" s="60" customFormat="1" ht="15" hidden="1" customHeight="1" x14ac:dyDescent="0.2">
      <c r="B43" s="267"/>
    </row>
    <row r="44" spans="2:7" s="60" customFormat="1" ht="15" hidden="1" customHeight="1" x14ac:dyDescent="0.2">
      <c r="B44" s="267"/>
    </row>
    <row r="45" spans="2:7" s="60" customFormat="1" ht="15" hidden="1" customHeight="1" x14ac:dyDescent="0.2">
      <c r="B45" s="267"/>
    </row>
    <row r="46" spans="2:7" s="60" customFormat="1" ht="15" hidden="1" customHeight="1" x14ac:dyDescent="0.2">
      <c r="B46" s="267"/>
    </row>
    <row r="47" spans="2:7" s="60" customFormat="1" ht="15" hidden="1" customHeight="1" x14ac:dyDescent="0.2">
      <c r="B47" s="267"/>
      <c r="G47" s="266"/>
    </row>
    <row r="48" spans="2:7" ht="15" hidden="1" customHeight="1" x14ac:dyDescent="0.2"/>
    <row r="49" ht="15" hidden="1" customHeight="1" x14ac:dyDescent="0.2"/>
    <row r="50" ht="15" hidden="1" customHeight="1" x14ac:dyDescent="0.2"/>
  </sheetData>
  <sheetProtection algorithmName="SHA-512" hashValue="fuMcm036JZ9XlxYLQbJfeT53uKwHcwzNX5xkd0nMzlU5+CjosUHXTpNvjednWrqgAgc8hQLrxSgXO2EOw7wgDw==" saltValue="i/LIOoIXN4XHT1/zyQkieA==" spinCount="100000" sheet="1" objects="1" scenarios="1" selectLockedCells="1"/>
  <mergeCells count="3">
    <mergeCell ref="E8:M8"/>
    <mergeCell ref="E40:F40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>
    <pageSetUpPr fitToPage="1"/>
  </sheetPr>
  <dimension ref="A1:X46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s="488" customFormat="1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1868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G7" s="235"/>
      <c r="H7" s="235"/>
      <c r="I7" s="235"/>
      <c r="J7" s="235"/>
      <c r="K7" s="235"/>
      <c r="L7" s="235"/>
      <c r="M7" s="235"/>
      <c r="N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443" t="s">
        <v>351</v>
      </c>
      <c r="G11" s="237">
        <v>4</v>
      </c>
      <c r="H11" s="297" t="s">
        <v>352</v>
      </c>
      <c r="I11" s="5">
        <v>3</v>
      </c>
      <c r="J11" s="266" t="s">
        <v>355</v>
      </c>
      <c r="K11" s="218">
        <f>10000/(G11*I11)</f>
        <v>833.33333333333337</v>
      </c>
      <c r="L11" s="266" t="s">
        <v>353</v>
      </c>
      <c r="N11" s="27"/>
    </row>
    <row r="12" spans="1:16" ht="15" customHeight="1" x14ac:dyDescent="0.2">
      <c r="G12" s="265"/>
      <c r="H12" s="271"/>
      <c r="I12" s="271"/>
      <c r="N12" s="27"/>
    </row>
    <row r="13" spans="1:16" ht="15" customHeight="1" x14ac:dyDescent="0.2">
      <c r="D13" s="266" t="s">
        <v>338</v>
      </c>
      <c r="G13" s="237">
        <v>5</v>
      </c>
      <c r="H13" s="49" t="s">
        <v>1873</v>
      </c>
      <c r="I13" s="271"/>
      <c r="N13" s="27"/>
    </row>
    <row r="14" spans="1:16" ht="15" customHeight="1" x14ac:dyDescent="0.2">
      <c r="G14" s="237">
        <v>90</v>
      </c>
      <c r="H14" s="49" t="s">
        <v>1874</v>
      </c>
      <c r="I14" s="271"/>
      <c r="N14" s="27"/>
    </row>
    <row r="15" spans="1:16" ht="15" customHeight="1" x14ac:dyDescent="0.3">
      <c r="G15" s="237">
        <v>9</v>
      </c>
      <c r="H15" s="49" t="s">
        <v>1881</v>
      </c>
      <c r="I15" s="271"/>
      <c r="N15" s="27"/>
    </row>
    <row r="16" spans="1:16" ht="15" customHeight="1" x14ac:dyDescent="0.2">
      <c r="G16" s="237">
        <v>30</v>
      </c>
      <c r="H16" s="49" t="s">
        <v>339</v>
      </c>
      <c r="I16" s="271"/>
      <c r="N16" s="27"/>
    </row>
    <row r="17" spans="4:24" ht="15" customHeight="1" x14ac:dyDescent="0.2">
      <c r="G17" s="265"/>
      <c r="H17" s="49"/>
      <c r="I17" s="271"/>
      <c r="N17" s="27"/>
    </row>
    <row r="18" spans="4:24" ht="15" customHeight="1" x14ac:dyDescent="0.2">
      <c r="D18" s="266" t="s">
        <v>340</v>
      </c>
      <c r="G18" s="237">
        <v>90</v>
      </c>
      <c r="H18" s="49" t="s">
        <v>341</v>
      </c>
      <c r="I18" s="271"/>
      <c r="N18" s="27"/>
    </row>
    <row r="19" spans="4:24" ht="15" customHeight="1" x14ac:dyDescent="0.2">
      <c r="G19" s="265"/>
      <c r="N19" s="27"/>
    </row>
    <row r="20" spans="4:24" ht="15" customHeight="1" x14ac:dyDescent="0.2">
      <c r="N20" s="27"/>
    </row>
    <row r="21" spans="4:24" ht="15" customHeight="1" x14ac:dyDescent="0.25">
      <c r="D21" s="291" t="s">
        <v>371</v>
      </c>
      <c r="E21" s="291"/>
      <c r="F21" s="291"/>
      <c r="G21" s="291"/>
      <c r="H21" s="291"/>
      <c r="I21" s="27"/>
      <c r="M21" s="27"/>
    </row>
    <row r="22" spans="4:24" s="213" customFormat="1" ht="15" customHeight="1" x14ac:dyDescent="0.2">
      <c r="D22" s="298" t="s">
        <v>1708</v>
      </c>
      <c r="E22" s="267"/>
      <c r="G22" s="286">
        <f>IF(W22&gt;0,W22,0)</f>
        <v>4</v>
      </c>
      <c r="H22" s="300" t="s">
        <v>349</v>
      </c>
      <c r="I22" s="303"/>
      <c r="M22" s="304"/>
      <c r="W22" s="220">
        <f xml:space="preserve"> G15*(70-G16)/G18</f>
        <v>4</v>
      </c>
      <c r="X22" s="26" t="s">
        <v>483</v>
      </c>
    </row>
    <row r="23" spans="4:24" s="213" customFormat="1" ht="15" customHeight="1" x14ac:dyDescent="0.2">
      <c r="D23" s="294"/>
      <c r="E23" s="267"/>
      <c r="G23" s="286"/>
      <c r="H23" s="300"/>
      <c r="I23" s="303"/>
      <c r="M23" s="304"/>
      <c r="W23" s="220"/>
      <c r="X23" s="26"/>
    </row>
    <row r="24" spans="4:24" ht="15" customHeight="1" x14ac:dyDescent="0.2">
      <c r="D24" s="49" t="s">
        <v>1696</v>
      </c>
      <c r="G24" s="49" t="s">
        <v>1882</v>
      </c>
      <c r="L24" s="277" t="str">
        <f>IF(G14&lt;80,"20-00-30",IF(AND(G14&gt;=80,G14&lt;150),"20-00-20",IF(AND(G14&gt;=150,G14&lt;200),"20-00-15",IF(AND(G14&gt;=200,G14&lt;280),"20-00-10","Sulf. Amônio"))))</f>
        <v>20-00-20</v>
      </c>
      <c r="N24" s="224"/>
      <c r="R24" s="305"/>
    </row>
    <row r="25" spans="4:24" ht="15" customHeight="1" x14ac:dyDescent="0.2">
      <c r="G25" s="224" t="str">
        <f>IF(G13&lt;20,"230",IF(AND(G13&gt;=20,G13&lt;60),"180",IF(AND(G13&gt;=60,G13&lt;100),"130",IF(AND(G13&gt;=100,G13&lt;150),"80",0))))</f>
        <v>230</v>
      </c>
      <c r="H25" s="49" t="s">
        <v>1316</v>
      </c>
      <c r="I25" s="303"/>
      <c r="J25" s="218"/>
      <c r="K25" s="271"/>
      <c r="L25" s="271"/>
      <c r="M25" s="27"/>
      <c r="N25" s="263"/>
    </row>
    <row r="26" spans="4:24" ht="15" customHeight="1" x14ac:dyDescent="0.2">
      <c r="G26" s="224">
        <v>5</v>
      </c>
      <c r="H26" s="213" t="s">
        <v>1318</v>
      </c>
      <c r="I26" s="208"/>
      <c r="J26" s="218"/>
      <c r="K26" s="306"/>
      <c r="L26" s="27"/>
      <c r="M26" s="27"/>
      <c r="N26" s="263"/>
    </row>
    <row r="27" spans="4:24" ht="15" customHeight="1" x14ac:dyDescent="0.2">
      <c r="F27" s="169"/>
      <c r="M27" s="27"/>
      <c r="N27" s="263"/>
    </row>
    <row r="28" spans="4:24" ht="15" customHeight="1" x14ac:dyDescent="0.2">
      <c r="D28" s="266" t="s">
        <v>342</v>
      </c>
      <c r="M28" s="27"/>
    </row>
    <row r="29" spans="4:24" ht="15" customHeight="1" x14ac:dyDescent="0.2">
      <c r="F29" s="489" t="s">
        <v>552</v>
      </c>
      <c r="G29" s="224">
        <v>15</v>
      </c>
      <c r="H29" s="303" t="s">
        <v>558</v>
      </c>
      <c r="I29" s="222" t="str">
        <f>L24</f>
        <v>20-00-20</v>
      </c>
      <c r="J29" s="281"/>
      <c r="L29" s="27"/>
      <c r="N29" s="27"/>
    </row>
    <row r="30" spans="4:24" ht="15" customHeight="1" x14ac:dyDescent="0.2">
      <c r="F30" s="489" t="s">
        <v>553</v>
      </c>
      <c r="G30" s="224">
        <v>20</v>
      </c>
      <c r="H30" s="303" t="s">
        <v>558</v>
      </c>
      <c r="I30" s="222" t="str">
        <f>L24</f>
        <v>20-00-20</v>
      </c>
      <c r="L30" s="27"/>
      <c r="N30" s="27"/>
    </row>
    <row r="31" spans="4:24" ht="15" customHeight="1" x14ac:dyDescent="0.2">
      <c r="F31" s="489" t="s">
        <v>554</v>
      </c>
      <c r="G31" s="224">
        <v>25</v>
      </c>
      <c r="H31" s="303" t="s">
        <v>558</v>
      </c>
      <c r="I31" s="222" t="str">
        <f>L24</f>
        <v>20-00-20</v>
      </c>
      <c r="J31" s="281"/>
      <c r="L31" s="27"/>
    </row>
    <row r="32" spans="4:24" ht="15" customHeight="1" x14ac:dyDescent="0.2">
      <c r="M32" s="27"/>
    </row>
    <row r="33" spans="2:13" ht="15" customHeight="1" x14ac:dyDescent="0.2">
      <c r="D33" s="169"/>
      <c r="L33" s="224"/>
      <c r="M33" s="27"/>
    </row>
    <row r="34" spans="2:13" ht="15" customHeight="1" x14ac:dyDescent="0.2">
      <c r="M34" s="27"/>
    </row>
    <row r="35" spans="2:13" ht="15" customHeight="1" x14ac:dyDescent="0.2">
      <c r="M35" s="27"/>
    </row>
    <row r="36" spans="2:13" ht="15" customHeight="1" x14ac:dyDescent="0.2">
      <c r="M36" s="27"/>
    </row>
    <row r="37" spans="2:13" ht="15" customHeight="1" x14ac:dyDescent="0.2"/>
    <row r="38" spans="2:13" ht="15" customHeight="1" x14ac:dyDescent="0.2"/>
    <row r="39" spans="2:13" s="60" customFormat="1" ht="15" customHeight="1" x14ac:dyDescent="0.2">
      <c r="D39" s="226" t="s">
        <v>891</v>
      </c>
      <c r="E39" s="771">
        <f ca="1">TODAY()</f>
        <v>45064</v>
      </c>
      <c r="F39" s="772"/>
      <c r="G39" s="60" t="s">
        <v>373</v>
      </c>
    </row>
    <row r="40" spans="2:13" s="60" customFormat="1" ht="15" customHeight="1" x14ac:dyDescent="0.2">
      <c r="D40" s="267"/>
    </row>
    <row r="41" spans="2:13" s="60" customFormat="1" ht="15" hidden="1" customHeight="1" x14ac:dyDescent="0.2">
      <c r="B41" s="267"/>
    </row>
    <row r="42" spans="2:13" s="60" customFormat="1" ht="15" hidden="1" customHeight="1" x14ac:dyDescent="0.2">
      <c r="B42" s="267"/>
    </row>
    <row r="43" spans="2:13" s="60" customFormat="1" ht="15" hidden="1" customHeight="1" x14ac:dyDescent="0.2">
      <c r="B43" s="267"/>
    </row>
    <row r="44" spans="2:13" s="60" customFormat="1" ht="15" hidden="1" customHeight="1" x14ac:dyDescent="0.2">
      <c r="B44" s="267"/>
    </row>
    <row r="45" spans="2:13" s="60" customFormat="1" ht="15" hidden="1" customHeight="1" x14ac:dyDescent="0.2">
      <c r="B45" s="267"/>
    </row>
    <row r="46" spans="2:13" s="60" customFormat="1" ht="15" hidden="1" customHeight="1" x14ac:dyDescent="0.2">
      <c r="B46" s="267"/>
    </row>
  </sheetData>
  <sheetProtection algorithmName="SHA-512" hashValue="erTCtzptqreUGUAl62llrzRjt9VbeeegZ3IImj+y42niJ0d4sRIGZSNqLwmO8c2uwkHsoBaortJ4tbbZHBW+ww==" saltValue="b3RlDsd1WZ/Mrv9EmXGrzQ==" spinCount="100000" sheet="1" objects="1" scenarios="1" selectLockedCells="1"/>
  <mergeCells count="3">
    <mergeCell ref="E8:M8"/>
    <mergeCell ref="E39:F39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1:X50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1866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E7" s="235"/>
      <c r="F7" s="235"/>
      <c r="G7" s="235"/>
      <c r="H7" s="235"/>
      <c r="I7" s="235"/>
      <c r="J7" s="235"/>
      <c r="K7" s="235"/>
      <c r="L7" s="235"/>
    </row>
    <row r="8" spans="1:16" ht="15" customHeight="1" x14ac:dyDescent="0.2">
      <c r="D8" s="266" t="s">
        <v>893</v>
      </c>
      <c r="E8" s="775" t="s">
        <v>1850</v>
      </c>
      <c r="F8" s="776"/>
      <c r="G8" s="776"/>
      <c r="H8" s="776"/>
      <c r="I8" s="776"/>
      <c r="J8" s="776"/>
      <c r="K8" s="776"/>
      <c r="L8" s="776"/>
      <c r="M8" s="777"/>
    </row>
    <row r="9" spans="1:16" ht="15" customHeight="1" x14ac:dyDescent="0.2"/>
    <row r="10" spans="1:16" ht="15" customHeight="1" x14ac:dyDescent="0.2"/>
    <row r="11" spans="1:16" ht="15" customHeight="1" x14ac:dyDescent="0.2">
      <c r="D11" s="298" t="s">
        <v>1208</v>
      </c>
      <c r="G11" s="237">
        <v>1</v>
      </c>
      <c r="H11" s="298" t="s">
        <v>2070</v>
      </c>
      <c r="I11" s="5">
        <v>0.6</v>
      </c>
      <c r="J11" s="49" t="s">
        <v>2100</v>
      </c>
      <c r="K11" s="299">
        <f>10000/(G11*I11)</f>
        <v>16666.666666666668</v>
      </c>
      <c r="L11" s="266" t="s">
        <v>353</v>
      </c>
    </row>
    <row r="12" spans="1:16" ht="15" customHeight="1" x14ac:dyDescent="0.2">
      <c r="F12" s="265"/>
      <c r="G12" s="271"/>
      <c r="H12" s="271"/>
    </row>
    <row r="13" spans="1:16" ht="15" customHeight="1" x14ac:dyDescent="0.2">
      <c r="D13" s="266" t="s">
        <v>338</v>
      </c>
      <c r="G13" s="237">
        <v>10</v>
      </c>
      <c r="H13" s="49" t="s">
        <v>1873</v>
      </c>
    </row>
    <row r="14" spans="1:16" ht="15" customHeight="1" x14ac:dyDescent="0.2">
      <c r="G14" s="237">
        <v>90</v>
      </c>
      <c r="H14" s="49" t="s">
        <v>1874</v>
      </c>
    </row>
    <row r="15" spans="1:16" ht="15" customHeight="1" x14ac:dyDescent="0.3">
      <c r="G15" s="237">
        <v>9</v>
      </c>
      <c r="H15" s="49" t="s">
        <v>1881</v>
      </c>
    </row>
    <row r="16" spans="1:16" ht="15" customHeight="1" x14ac:dyDescent="0.2">
      <c r="G16" s="237">
        <v>30</v>
      </c>
      <c r="H16" s="49" t="s">
        <v>339</v>
      </c>
    </row>
    <row r="17" spans="4:24" ht="15" customHeight="1" x14ac:dyDescent="0.2">
      <c r="G17" s="265"/>
      <c r="H17" s="49"/>
    </row>
    <row r="18" spans="4:24" ht="15" customHeight="1" x14ac:dyDescent="0.2">
      <c r="D18" s="266" t="s">
        <v>340</v>
      </c>
      <c r="G18" s="237">
        <v>90</v>
      </c>
      <c r="H18" s="49" t="s">
        <v>341</v>
      </c>
    </row>
    <row r="19" spans="4:24" ht="15" customHeight="1" x14ac:dyDescent="0.2">
      <c r="G19" s="265"/>
      <c r="H19" s="49"/>
    </row>
    <row r="20" spans="4:24" ht="15" customHeight="1" x14ac:dyDescent="0.2">
      <c r="H20" s="49"/>
      <c r="N20" s="26"/>
      <c r="O20" s="26"/>
      <c r="P20" s="26"/>
      <c r="Q20" s="26"/>
    </row>
    <row r="21" spans="4:24" ht="15" customHeight="1" x14ac:dyDescent="0.25">
      <c r="D21" s="291" t="s">
        <v>371</v>
      </c>
      <c r="E21" s="291"/>
      <c r="G21" s="291"/>
      <c r="H21" s="302"/>
      <c r="I21" s="27"/>
      <c r="N21" s="26"/>
      <c r="O21" s="26"/>
      <c r="P21" s="26"/>
      <c r="Q21" s="26"/>
    </row>
    <row r="22" spans="4:24" s="213" customFormat="1" ht="15" customHeight="1" x14ac:dyDescent="0.2">
      <c r="D22" s="298" t="s">
        <v>1708</v>
      </c>
      <c r="E22" s="267"/>
      <c r="G22" s="286">
        <f>IF(W22&gt;0,W22,0)</f>
        <v>5</v>
      </c>
      <c r="H22" s="357" t="s">
        <v>349</v>
      </c>
      <c r="I22" s="266"/>
      <c r="J22" s="266"/>
      <c r="K22" s="266"/>
      <c r="N22" s="26"/>
      <c r="Q22" s="26"/>
      <c r="W22" s="315">
        <f xml:space="preserve"> G15*(80-G16)/G18</f>
        <v>5</v>
      </c>
      <c r="X22" s="26" t="s">
        <v>119</v>
      </c>
    </row>
    <row r="23" spans="4:24" ht="15" customHeight="1" x14ac:dyDescent="0.2">
      <c r="F23" s="222"/>
      <c r="H23" s="49"/>
      <c r="N23" s="26"/>
      <c r="Q23" s="26"/>
      <c r="W23" s="171">
        <v>140</v>
      </c>
      <c r="X23" s="26" t="s">
        <v>343</v>
      </c>
    </row>
    <row r="24" spans="4:24" ht="15" customHeight="1" x14ac:dyDescent="0.2">
      <c r="D24" s="49" t="s">
        <v>1696</v>
      </c>
      <c r="G24" s="257">
        <v>2</v>
      </c>
      <c r="H24" s="170" t="s">
        <v>1697</v>
      </c>
      <c r="J24" s="218"/>
      <c r="K24" s="271"/>
      <c r="L24" s="277" t="str">
        <f>IF(G14&lt;80,"20-00-30",IF(AND(G14&gt;=80,G14&lt;150),"20-00-20",IF(AND(G14&gt;=150,G14&lt;200),"20-00-15",IF(AND(G14&gt;=200,G14&lt;280),"20-00-10","Sulf. Amônio"))))</f>
        <v>20-00-20</v>
      </c>
      <c r="N24" s="325"/>
      <c r="O24" s="26"/>
      <c r="P24" s="26"/>
      <c r="Q24" s="26"/>
    </row>
    <row r="25" spans="4:24" ht="15" customHeight="1" x14ac:dyDescent="0.2">
      <c r="G25" s="224" t="str">
        <f>IF(G13&lt;20,"100",IF(AND(G13&gt;=20,G13&lt;60),"80",IF(AND(G13&gt;=60,G13&lt;100),"60",IF(AND(G13&gt;=100,G13&lt;150),"40",0))))</f>
        <v>100</v>
      </c>
      <c r="H25" s="49" t="s">
        <v>1316</v>
      </c>
      <c r="I25" s="303"/>
      <c r="J25" s="218"/>
      <c r="K25" s="306"/>
      <c r="L25" s="27"/>
      <c r="N25" s="26"/>
      <c r="O25" s="26"/>
      <c r="P25" s="26"/>
      <c r="Q25" s="26"/>
    </row>
    <row r="26" spans="4:24" ht="15" customHeight="1" x14ac:dyDescent="0.2">
      <c r="G26" s="224">
        <v>5</v>
      </c>
      <c r="H26" s="49" t="s">
        <v>1317</v>
      </c>
      <c r="I26" s="208"/>
      <c r="M26" s="263"/>
      <c r="N26" s="27"/>
    </row>
    <row r="27" spans="4:24" ht="15" customHeight="1" x14ac:dyDescent="0.2"/>
    <row r="28" spans="4:24" ht="15" customHeight="1" x14ac:dyDescent="0.2">
      <c r="D28" s="266" t="s">
        <v>342</v>
      </c>
      <c r="G28" s="224">
        <v>15</v>
      </c>
      <c r="H28" s="303" t="s">
        <v>558</v>
      </c>
      <c r="I28" s="222" t="str">
        <f>L24</f>
        <v>20-00-20</v>
      </c>
      <c r="J28" s="308" t="s">
        <v>1290</v>
      </c>
    </row>
    <row r="29" spans="4:24" ht="15" customHeight="1" x14ac:dyDescent="0.2">
      <c r="G29" s="224">
        <v>20</v>
      </c>
      <c r="H29" s="303" t="s">
        <v>558</v>
      </c>
      <c r="I29" s="222" t="str">
        <f>L24</f>
        <v>20-00-20</v>
      </c>
      <c r="J29" s="308" t="s">
        <v>1291</v>
      </c>
    </row>
    <row r="30" spans="4:24" ht="15" customHeight="1" x14ac:dyDescent="0.2">
      <c r="G30" s="224">
        <v>25</v>
      </c>
      <c r="H30" s="303" t="s">
        <v>558</v>
      </c>
      <c r="I30" s="222" t="str">
        <f>L24</f>
        <v>20-00-20</v>
      </c>
      <c r="J30" s="308" t="s">
        <v>1292</v>
      </c>
    </row>
    <row r="31" spans="4:24" ht="15" customHeight="1" x14ac:dyDescent="0.2"/>
    <row r="32" spans="4:24" ht="15" customHeight="1" x14ac:dyDescent="0.2">
      <c r="D32" s="169"/>
      <c r="L32" s="224"/>
      <c r="M32" s="305"/>
      <c r="N32" s="305"/>
    </row>
    <row r="33" spans="2:7" ht="15" customHeight="1" x14ac:dyDescent="0.2"/>
    <row r="34" spans="2:7" ht="15" customHeight="1" x14ac:dyDescent="0.2"/>
    <row r="35" spans="2:7" ht="15" customHeight="1" x14ac:dyDescent="0.2"/>
    <row r="36" spans="2:7" ht="15" customHeight="1" x14ac:dyDescent="0.2"/>
    <row r="37" spans="2:7" ht="15" customHeight="1" x14ac:dyDescent="0.2"/>
    <row r="38" spans="2:7" s="60" customFormat="1" ht="15" customHeight="1" x14ac:dyDescent="0.2">
      <c r="D38" s="226" t="s">
        <v>891</v>
      </c>
      <c r="E38" s="771">
        <f ca="1">TODAY()</f>
        <v>45064</v>
      </c>
      <c r="F38" s="772"/>
      <c r="G38" s="60" t="s">
        <v>373</v>
      </c>
    </row>
    <row r="39" spans="2:7" s="60" customFormat="1" ht="15" customHeight="1" x14ac:dyDescent="0.2">
      <c r="D39" s="267"/>
    </row>
    <row r="40" spans="2:7" s="60" customFormat="1" ht="15" hidden="1" customHeight="1" x14ac:dyDescent="0.2">
      <c r="D40" s="267"/>
    </row>
    <row r="41" spans="2:7" s="60" customFormat="1" ht="15" hidden="1" customHeight="1" x14ac:dyDescent="0.2">
      <c r="D41" s="267"/>
    </row>
    <row r="42" spans="2:7" s="60" customFormat="1" ht="15" hidden="1" customHeight="1" x14ac:dyDescent="0.2">
      <c r="D42" s="267"/>
    </row>
    <row r="43" spans="2:7" s="60" customFormat="1" ht="15" hidden="1" customHeight="1" x14ac:dyDescent="0.2">
      <c r="D43" s="267"/>
    </row>
    <row r="44" spans="2:7" s="60" customFormat="1" ht="15" hidden="1" customHeight="1" x14ac:dyDescent="0.2">
      <c r="D44" s="267"/>
    </row>
    <row r="45" spans="2:7" s="60" customFormat="1" ht="15" hidden="1" customHeight="1" x14ac:dyDescent="0.2">
      <c r="B45" s="267"/>
    </row>
    <row r="46" spans="2:7" s="60" customFormat="1" ht="15" hidden="1" customHeight="1" x14ac:dyDescent="0.2">
      <c r="B46" s="267"/>
      <c r="G46" s="266"/>
    </row>
    <row r="47" spans="2:7" ht="15" hidden="1" customHeight="1" x14ac:dyDescent="0.2"/>
    <row r="48" spans="2:7" ht="15" hidden="1" customHeight="1" x14ac:dyDescent="0.2"/>
    <row r="49" ht="15" hidden="1" customHeight="1" x14ac:dyDescent="0.2"/>
    <row r="50" ht="15" customHeight="1" x14ac:dyDescent="0.2"/>
  </sheetData>
  <sheetProtection algorithmName="SHA-512" hashValue="+EHWROfoN85XlTliHJaM/hkTaz7EFKmm+yE0dphExPAtgyzxeyic2cq9yDo0duDINJYVFujeSSN9gDGs2SBJPA==" saltValue="oxlDTYHvRVzwGSVnuajrcA==" spinCount="100000" sheet="1" objects="1" scenarios="1" selectLockedCells="1"/>
  <mergeCells count="3">
    <mergeCell ref="E8:M8"/>
    <mergeCell ref="E38:F3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X26"/>
  <sheetViews>
    <sheetView showGridLines="0" showRowColHeaders="0" zoomScaleNormal="100" zoomScaleSheetLayoutView="100" workbookViewId="0">
      <selection activeCell="F8" sqref="F8:L8"/>
    </sheetView>
  </sheetViews>
  <sheetFormatPr defaultColWidth="9.140625" defaultRowHeight="20.100000000000001" customHeight="1" x14ac:dyDescent="0.2"/>
  <cols>
    <col min="1" max="5" width="9.140625" style="76" customWidth="1"/>
    <col min="6" max="7" width="9.140625" style="361" customWidth="1"/>
    <col min="8" max="16" width="9.140625" style="76" customWidth="1"/>
    <col min="17" max="16384" width="9.140625" style="76"/>
  </cols>
  <sheetData>
    <row r="1" spans="1:24" s="266" customFormat="1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s="266" customFormat="1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s="266" customFormat="1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s="266" customFormat="1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s="266" customFormat="1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s="266" customFormat="1" ht="24.95" customHeight="1" x14ac:dyDescent="0.2">
      <c r="C6" s="688" t="s">
        <v>1747</v>
      </c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8" spans="1:24" ht="20.100000000000001" customHeight="1" x14ac:dyDescent="0.2">
      <c r="E8" s="362" t="s">
        <v>1313</v>
      </c>
      <c r="F8" s="693"/>
      <c r="G8" s="694"/>
      <c r="H8" s="694"/>
      <c r="I8" s="694"/>
      <c r="J8" s="694"/>
      <c r="K8" s="694"/>
      <c r="L8" s="694"/>
    </row>
    <row r="9" spans="1:24" ht="20.100000000000001" customHeight="1" x14ac:dyDescent="0.2">
      <c r="E9" s="362" t="s">
        <v>832</v>
      </c>
      <c r="F9" s="695"/>
      <c r="G9" s="695"/>
      <c r="H9" s="695"/>
      <c r="I9" s="695"/>
      <c r="J9" s="695"/>
      <c r="K9" s="695"/>
      <c r="L9" s="695"/>
    </row>
    <row r="10" spans="1:24" ht="20.100000000000001" customHeight="1" x14ac:dyDescent="0.2">
      <c r="E10" s="363"/>
      <c r="F10" s="363"/>
      <c r="G10" s="363"/>
      <c r="H10" s="363"/>
      <c r="I10" s="363"/>
      <c r="J10" s="363"/>
    </row>
    <row r="11" spans="1:24" ht="20.100000000000001" customHeight="1" x14ac:dyDescent="0.2">
      <c r="D11" s="364"/>
      <c r="E11" s="364"/>
      <c r="F11" s="259"/>
      <c r="G11" s="259"/>
      <c r="H11" s="365"/>
      <c r="I11" s="259" t="s">
        <v>1748</v>
      </c>
      <c r="J11" s="366"/>
      <c r="K11" s="364"/>
      <c r="L11" s="364"/>
      <c r="M11" s="364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</row>
    <row r="12" spans="1:24" ht="20.100000000000001" customHeight="1" x14ac:dyDescent="0.2">
      <c r="D12" s="262"/>
      <c r="E12" s="262" t="s">
        <v>421</v>
      </c>
      <c r="F12" s="367"/>
      <c r="G12" s="262" t="s">
        <v>1746</v>
      </c>
      <c r="H12" s="368"/>
      <c r="I12" s="262" t="s">
        <v>1749</v>
      </c>
      <c r="J12" s="367"/>
      <c r="K12" s="369"/>
      <c r="L12" s="262" t="s">
        <v>1754</v>
      </c>
      <c r="M12" s="369"/>
      <c r="N12" s="185"/>
      <c r="O12" s="86"/>
      <c r="P12" s="86"/>
      <c r="Q12" s="86"/>
      <c r="R12" s="86"/>
      <c r="S12" s="86"/>
      <c r="T12" s="86"/>
      <c r="U12" s="86"/>
      <c r="V12" s="86"/>
      <c r="W12" s="86"/>
      <c r="X12" s="86"/>
    </row>
    <row r="13" spans="1:24" ht="20.100000000000001" customHeight="1" x14ac:dyDescent="0.2">
      <c r="E13" s="370"/>
      <c r="F13" s="185"/>
      <c r="G13" s="185"/>
      <c r="I13" s="92"/>
      <c r="J13" s="361"/>
      <c r="K13" s="185"/>
      <c r="L13" s="185"/>
      <c r="M13" s="185"/>
      <c r="N13" s="86"/>
      <c r="O13" s="86"/>
      <c r="P13" s="86"/>
      <c r="Q13" s="185"/>
      <c r="R13" s="185"/>
      <c r="S13" s="371"/>
      <c r="T13" s="185"/>
      <c r="U13" s="86"/>
      <c r="V13" s="86"/>
      <c r="W13" s="86"/>
      <c r="X13" s="86"/>
    </row>
    <row r="14" spans="1:24" ht="20.100000000000001" customHeight="1" x14ac:dyDescent="0.2">
      <c r="E14" s="260" t="s">
        <v>930</v>
      </c>
      <c r="F14" s="118"/>
      <c r="G14" s="3" t="s">
        <v>1745</v>
      </c>
      <c r="I14" s="1">
        <v>2</v>
      </c>
      <c r="K14" s="372">
        <f>IF(G14="Mehlich",
IF(I14&lt;2,6,
IF(AND(I14&gt;=2,I14&lt;4),4,
IF(AND(I14&gt;=4,I14&lt;6),2,
0))),
IF(I14&lt;0.7,6,
IF(AND(I14&gt;=0.7,I14&lt;1.1),4,
IF(AND(I14&gt;=1.1,I14&lt;1.5),2,
0))))</f>
        <v>4</v>
      </c>
      <c r="L14" s="118" t="s">
        <v>1750</v>
      </c>
      <c r="M14" s="371"/>
      <c r="N14" s="185"/>
      <c r="O14" s="86"/>
      <c r="P14" s="86"/>
      <c r="Q14" s="371"/>
      <c r="R14" s="371"/>
      <c r="S14" s="371"/>
      <c r="T14" s="185"/>
      <c r="U14" s="86"/>
      <c r="V14" s="86"/>
      <c r="W14" s="86"/>
      <c r="X14" s="86"/>
    </row>
    <row r="15" spans="1:24" ht="20.100000000000001" customHeight="1" x14ac:dyDescent="0.2">
      <c r="E15" s="260"/>
      <c r="F15" s="185"/>
      <c r="G15" s="185"/>
      <c r="I15" s="185"/>
      <c r="K15" s="361"/>
      <c r="L15" s="86"/>
      <c r="M15" s="185"/>
      <c r="N15" s="86"/>
      <c r="O15" s="86"/>
      <c r="P15" s="86"/>
      <c r="Q15" s="185"/>
      <c r="R15" s="185"/>
      <c r="S15" s="185"/>
      <c r="T15" s="86"/>
      <c r="U15" s="86"/>
      <c r="V15" s="86"/>
      <c r="W15" s="86"/>
      <c r="X15" s="86"/>
    </row>
    <row r="16" spans="1:24" ht="20.100000000000001" customHeight="1" x14ac:dyDescent="0.2">
      <c r="E16" s="260" t="s">
        <v>933</v>
      </c>
      <c r="F16" s="118"/>
      <c r="G16" s="3" t="s">
        <v>1745</v>
      </c>
      <c r="I16" s="234">
        <v>0.2</v>
      </c>
      <c r="K16" s="372">
        <f>IF(G16="Mehlich",
IF(I16&lt;0.3,3,
IF(AND(I16&gt;=0.3,I16&lt;0.7),2,
IF(AND(I16&gt;=0.7,I16&lt;1),1,
0))),
IF(I16&lt;0.2,3,
IF(AND(I16&gt;=0.2,I16&lt;0.4),2,
IF(AND(I16&gt;=0.4,I16&lt;0.6),1,
0))))</f>
        <v>3</v>
      </c>
      <c r="L16" s="118" t="s">
        <v>1751</v>
      </c>
      <c r="M16" s="371"/>
      <c r="N16" s="185"/>
      <c r="O16" s="86"/>
      <c r="P16" s="86"/>
      <c r="Q16" s="371"/>
      <c r="R16" s="371"/>
      <c r="S16" s="371"/>
      <c r="T16" s="185"/>
      <c r="U16" s="86"/>
      <c r="V16" s="86"/>
      <c r="W16" s="86"/>
      <c r="X16" s="86"/>
    </row>
    <row r="17" spans="1:24" ht="20.100000000000001" customHeight="1" x14ac:dyDescent="0.2">
      <c r="A17" s="86"/>
      <c r="E17" s="260"/>
      <c r="F17" s="185"/>
      <c r="G17" s="185"/>
      <c r="I17" s="185"/>
      <c r="K17" s="361"/>
      <c r="L17" s="86"/>
      <c r="M17" s="185"/>
      <c r="N17" s="86"/>
      <c r="O17" s="86"/>
      <c r="P17" s="86"/>
      <c r="Q17" s="185"/>
      <c r="R17" s="185"/>
      <c r="S17" s="185"/>
      <c r="T17" s="86"/>
      <c r="U17" s="86"/>
      <c r="V17" s="86"/>
      <c r="W17" s="86"/>
      <c r="X17" s="86"/>
    </row>
    <row r="18" spans="1:24" ht="20.100000000000001" customHeight="1" x14ac:dyDescent="0.2">
      <c r="A18" s="86"/>
      <c r="E18" s="260" t="s">
        <v>931</v>
      </c>
      <c r="F18" s="118"/>
      <c r="G18" s="3" t="s">
        <v>1745</v>
      </c>
      <c r="I18" s="234">
        <v>0.5</v>
      </c>
      <c r="K18" s="372">
        <f>IF(G18="Mehlich",
IF(I18&lt;0.5,3,
IF(AND(I18&gt;=0.5,I18&lt;1),2,
IF(AND(I18&gt;=1,I18&lt;1.5),1,
0))),
IF(I18&lt;0.3,3,
IF(AND(I18&gt;=0.3,I18&lt;0.6),2,
IF(AND(I18&gt;=0.6,I18&lt;1),1,
0))))</f>
        <v>2</v>
      </c>
      <c r="L18" s="118" t="s">
        <v>1752</v>
      </c>
      <c r="M18" s="371"/>
      <c r="N18" s="185"/>
      <c r="O18" s="86"/>
      <c r="P18" s="86"/>
      <c r="Q18" s="371"/>
      <c r="R18" s="371"/>
      <c r="S18" s="371"/>
      <c r="T18" s="185"/>
      <c r="U18" s="86"/>
      <c r="V18" s="86"/>
      <c r="W18" s="86"/>
      <c r="X18" s="86"/>
    </row>
    <row r="19" spans="1:24" ht="20.100000000000001" customHeight="1" x14ac:dyDescent="0.2">
      <c r="A19" s="86"/>
      <c r="E19" s="260"/>
      <c r="F19" s="371"/>
      <c r="G19" s="371"/>
      <c r="I19" s="185"/>
      <c r="K19" s="361"/>
      <c r="L19" s="86"/>
      <c r="M19" s="185"/>
      <c r="N19" s="86"/>
      <c r="O19" s="86"/>
      <c r="P19" s="86"/>
      <c r="Q19" s="185"/>
      <c r="R19" s="185"/>
      <c r="S19" s="185"/>
      <c r="T19" s="86"/>
      <c r="U19" s="86"/>
      <c r="V19" s="86"/>
      <c r="W19" s="86"/>
      <c r="X19" s="86"/>
    </row>
    <row r="20" spans="1:24" ht="20.100000000000001" customHeight="1" x14ac:dyDescent="0.2">
      <c r="A20" s="86"/>
      <c r="E20" s="260" t="s">
        <v>932</v>
      </c>
      <c r="F20" s="373"/>
      <c r="G20" s="3" t="s">
        <v>1745</v>
      </c>
      <c r="I20" s="234">
        <v>5</v>
      </c>
      <c r="K20" s="372">
        <f>IF(G20="Mehlich",
IF(I20&lt;5,15,
IF(AND(I20&gt;=5,I20&lt;10),10,
IF(AND(I20&gt;=10,I20&lt;15),5,
0))),
IF(I20&lt;1,15,
IF(AND(I20&gt;=1,I20&lt;2.5),10,
IF(AND(I20&gt;=2.5,I20&lt;5),5,
0))))</f>
        <v>10</v>
      </c>
      <c r="L20" s="118" t="s">
        <v>1753</v>
      </c>
      <c r="M20" s="371"/>
      <c r="N20" s="185"/>
      <c r="O20" s="86"/>
      <c r="P20" s="86"/>
      <c r="Q20" s="371"/>
      <c r="R20" s="371"/>
      <c r="S20" s="371"/>
      <c r="T20" s="185"/>
      <c r="U20" s="86"/>
      <c r="V20" s="86"/>
      <c r="W20" s="86"/>
      <c r="X20" s="86"/>
    </row>
    <row r="21" spans="1:24" ht="20.100000000000001" customHeight="1" x14ac:dyDescent="0.2">
      <c r="A21" s="86"/>
      <c r="D21" s="374"/>
      <c r="E21" s="374"/>
      <c r="F21" s="261"/>
      <c r="G21" s="261"/>
      <c r="H21" s="261"/>
      <c r="I21" s="374"/>
      <c r="J21" s="261"/>
      <c r="K21" s="262"/>
      <c r="L21" s="92"/>
      <c r="M21" s="92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</row>
    <row r="22" spans="1:24" ht="20.100000000000001" customHeight="1" x14ac:dyDescent="0.2">
      <c r="A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</row>
    <row r="23" spans="1:24" ht="20.100000000000001" customHeight="1" x14ac:dyDescent="0.2">
      <c r="A23" s="86"/>
      <c r="B23" s="74"/>
      <c r="C23" s="52"/>
    </row>
    <row r="24" spans="1:24" ht="20.100000000000001" customHeight="1" x14ac:dyDescent="0.2">
      <c r="A24" s="86"/>
      <c r="B24" s="74"/>
      <c r="C24" s="375"/>
      <c r="D24" s="376"/>
      <c r="E24" s="377"/>
    </row>
    <row r="25" spans="1:24" ht="20.100000000000001" customHeight="1" x14ac:dyDescent="0.2">
      <c r="A25" s="86"/>
      <c r="B25" s="74"/>
      <c r="C25" s="375"/>
      <c r="D25" s="378"/>
      <c r="E25" s="377"/>
    </row>
    <row r="26" spans="1:24" ht="20.100000000000001" customHeight="1" x14ac:dyDescent="0.2">
      <c r="A26" s="86"/>
      <c r="D26" s="378"/>
      <c r="E26" s="377"/>
    </row>
  </sheetData>
  <sheetProtection algorithmName="SHA-512" hashValue="BLxp7kp0vXcxwt2lcCcgU7BrMQrchjwPzBlRpJh4jM8BYfSCFTIsDs5PRusYNzhoLXSgafdMWxW5N5PWAbNnAQ==" saltValue="2ya+2WPH27zVwE9b1Z617A==" spinCount="100000" sheet="1" objects="1" scenarios="1" selectLockedCells="1"/>
  <mergeCells count="3">
    <mergeCell ref="C6:N6"/>
    <mergeCell ref="F8:L8"/>
    <mergeCell ref="F9:L9"/>
  </mergeCells>
  <phoneticPr fontId="0" type="noConversion"/>
  <dataValidations count="2">
    <dataValidation type="list" allowBlank="1" showInputMessage="1" showErrorMessage="1" sqref="G18 G20 G14">
      <formula1>"Mehlich, DTPA"</formula1>
    </dataValidation>
    <dataValidation type="list" allowBlank="1" showInputMessage="1" showErrorMessage="1" sqref="G16">
      <formula1>"Mehlich, Água quente"</formula1>
    </dataValidation>
  </dataValidations>
  <pageMargins left="0.78740157480314965" right="0.78740157480314965" top="0.78740157480314965" bottom="0.78740157480314965" header="0.51181102362204722" footer="0.51181102362204722"/>
  <pageSetup scale="61" orientation="portrait" horizontalDpi="360" verticalDpi="36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>
    <pageSetUpPr fitToPage="1"/>
  </sheetPr>
  <dimension ref="A1:P16"/>
  <sheetViews>
    <sheetView showGridLines="0" showRowColHeaders="0" zoomScaleNormal="100" zoomScaleSheetLayoutView="100" workbookViewId="0">
      <selection activeCell="F9" sqref="F9:J9"/>
    </sheetView>
  </sheetViews>
  <sheetFormatPr defaultColWidth="0" defaultRowHeight="20.100000000000001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s="35" customFormat="1" ht="24.95" customHeight="1" x14ac:dyDescent="0.3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s="32" customFormat="1" ht="24.95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s="32" customFormat="1" ht="15" customHeight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F6" s="699" t="s">
        <v>1885</v>
      </c>
      <c r="G6" s="699"/>
      <c r="H6" s="699"/>
      <c r="I6" s="699"/>
      <c r="J6" s="699"/>
    </row>
    <row r="7" spans="1:16" ht="15" customHeight="1" thickBot="1" x14ac:dyDescent="0.25">
      <c r="D7" s="44"/>
      <c r="E7" s="44"/>
      <c r="F7" s="44"/>
      <c r="G7" s="44"/>
    </row>
    <row r="8" spans="1:16" s="34" customFormat="1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s="34" customFormat="1" ht="24.95" customHeight="1" thickTop="1" thickBot="1" x14ac:dyDescent="0.25">
      <c r="D9" s="44"/>
      <c r="E9" s="44"/>
      <c r="F9" s="711" t="str">
        <f>HYPERLINK("#"&amp;"'Plantio1V70'!h1","Plantio")</f>
        <v>Plantio</v>
      </c>
      <c r="G9" s="711"/>
      <c r="H9" s="711"/>
      <c r="I9" s="711"/>
      <c r="J9" s="711"/>
    </row>
    <row r="10" spans="1:16" s="34" customFormat="1" ht="24.95" customHeight="1" thickTop="1" thickBot="1" x14ac:dyDescent="0.25">
      <c r="F10" s="711" t="str">
        <f>HYPERLINK("#"&amp;"'AcerolaForm'!h1","Formação")</f>
        <v>Formação</v>
      </c>
      <c r="G10" s="711"/>
      <c r="H10" s="711"/>
      <c r="I10" s="711"/>
      <c r="J10" s="711"/>
    </row>
    <row r="11" spans="1:16" s="34" customFormat="1" ht="24.95" customHeight="1" thickTop="1" thickBot="1" x14ac:dyDescent="0.25">
      <c r="D11" s="44"/>
      <c r="E11" s="44"/>
      <c r="F11" s="711" t="str">
        <f>HYPERLINK("#"&amp;"'AcerolaProd'!h1","Produção")</f>
        <v>Produção</v>
      </c>
      <c r="G11" s="711"/>
      <c r="H11" s="711"/>
      <c r="I11" s="711"/>
      <c r="J11" s="711"/>
    </row>
    <row r="12" spans="1:16" s="34" customFormat="1" ht="24.95" customHeight="1" thickTop="1" x14ac:dyDescent="0.2"/>
    <row r="13" spans="1:16" s="34" customFormat="1" ht="24.95" hidden="1" customHeight="1" x14ac:dyDescent="0.2">
      <c r="D13" s="44"/>
      <c r="E13" s="44"/>
      <c r="F13" s="44"/>
      <c r="G13" s="44"/>
    </row>
    <row r="14" spans="1:16" s="34" customFormat="1" ht="24.95" hidden="1" customHeight="1" x14ac:dyDescent="0.2">
      <c r="C14" s="266"/>
    </row>
    <row r="15" spans="1:16" s="34" customFormat="1" ht="24.95" hidden="1" customHeight="1" x14ac:dyDescent="0.2"/>
    <row r="16" spans="1:16" s="34" customFormat="1" ht="20.100000000000001" hidden="1" customHeight="1" x14ac:dyDescent="0.2">
      <c r="C16" s="266"/>
      <c r="D16" s="266"/>
      <c r="E16" s="266"/>
      <c r="F16" s="266"/>
    </row>
  </sheetData>
  <sheetProtection algorithmName="SHA-512" hashValue="RsYmCii0SjZfBUhVaJCQA2EsR3QQMjX/Dag6pkfcmanc7vNIYWq23h00b+i+RVfkbfQPhMjJ+ReKwuRyHCyMuQ==" saltValue="g1u1uGow+xz586CoHDslRw==" spinCount="100000" sheet="1" objects="1" scenarios="1"/>
  <mergeCells count="5">
    <mergeCell ref="F8:J8"/>
    <mergeCell ref="F9:J9"/>
    <mergeCell ref="F10:J10"/>
    <mergeCell ref="F11:J11"/>
    <mergeCell ref="F6:J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pageSetUpPr fitToPage="1"/>
  </sheetPr>
  <dimension ref="A1:X58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1869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E7" s="235"/>
      <c r="F7" s="235"/>
      <c r="G7" s="235"/>
      <c r="H7" s="235"/>
      <c r="I7" s="235"/>
      <c r="J7" s="235"/>
      <c r="K7" s="235"/>
      <c r="L7" s="235"/>
    </row>
    <row r="8" spans="1:16" ht="15" customHeight="1" x14ac:dyDescent="0.2">
      <c r="D8" s="31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5">
      <c r="D11" s="164" t="s">
        <v>1858</v>
      </c>
      <c r="E11" s="34"/>
      <c r="F11" s="34"/>
    </row>
    <row r="12" spans="1:16" ht="15" customHeight="1" x14ac:dyDescent="0.2">
      <c r="E12" s="49" t="s">
        <v>1698</v>
      </c>
    </row>
    <row r="13" spans="1:16" ht="15" customHeight="1" x14ac:dyDescent="0.2">
      <c r="E13" s="49" t="s">
        <v>1699</v>
      </c>
    </row>
    <row r="14" spans="1:16" ht="15" customHeight="1" x14ac:dyDescent="0.2">
      <c r="E14" s="49" t="s">
        <v>1700</v>
      </c>
    </row>
    <row r="15" spans="1:16" ht="15" customHeight="1" x14ac:dyDescent="0.2"/>
    <row r="16" spans="1:16" ht="15" customHeight="1" x14ac:dyDescent="0.2"/>
    <row r="17" spans="4:24" s="60" customFormat="1" ht="15" customHeight="1" x14ac:dyDescent="0.25">
      <c r="D17" s="164" t="s">
        <v>1054</v>
      </c>
      <c r="E17" s="34"/>
      <c r="F17" s="266"/>
      <c r="G17" s="266"/>
      <c r="H17" s="266"/>
      <c r="I17" s="266"/>
      <c r="J17" s="266"/>
      <c r="K17" s="266"/>
      <c r="L17" s="266"/>
      <c r="M17" s="266"/>
      <c r="N17" s="266"/>
    </row>
    <row r="18" spans="4:24" s="60" customFormat="1" ht="15" customHeight="1" x14ac:dyDescent="0.2">
      <c r="D18" s="281" t="s">
        <v>338</v>
      </c>
      <c r="G18" s="237">
        <v>12</v>
      </c>
      <c r="H18" s="49" t="s">
        <v>1873</v>
      </c>
      <c r="I18" s="266"/>
      <c r="J18" s="266"/>
      <c r="K18" s="266"/>
      <c r="L18" s="266"/>
      <c r="M18" s="266"/>
      <c r="N18" s="266"/>
      <c r="O18" s="296"/>
      <c r="P18" s="296"/>
      <c r="Q18" s="296"/>
    </row>
    <row r="19" spans="4:24" s="60" customFormat="1" ht="15" customHeight="1" x14ac:dyDescent="0.2">
      <c r="G19" s="237">
        <v>150</v>
      </c>
      <c r="H19" s="49" t="s">
        <v>1874</v>
      </c>
      <c r="I19" s="266"/>
      <c r="J19" s="266"/>
      <c r="K19" s="266"/>
      <c r="L19" s="266"/>
      <c r="M19" s="266"/>
      <c r="N19" s="266"/>
      <c r="O19" s="296"/>
      <c r="P19" s="296"/>
      <c r="Q19" s="296"/>
    </row>
    <row r="20" spans="4:24" s="60" customFormat="1" ht="15" customHeight="1" x14ac:dyDescent="0.2">
      <c r="D20" s="266"/>
      <c r="E20" s="266"/>
      <c r="F20" s="266"/>
      <c r="G20" s="266"/>
      <c r="H20" s="266"/>
      <c r="I20" s="266"/>
      <c r="J20" s="266"/>
      <c r="K20" s="266"/>
      <c r="L20" s="266"/>
      <c r="Q20" s="292"/>
      <c r="W20" s="26"/>
      <c r="X20" s="26"/>
    </row>
    <row r="21" spans="4:24" s="60" customFormat="1" ht="15" customHeight="1" x14ac:dyDescent="0.2">
      <c r="F21" s="225" t="s">
        <v>637</v>
      </c>
      <c r="G21" s="224">
        <f>W21*5</f>
        <v>400</v>
      </c>
      <c r="H21" s="272" t="s">
        <v>558</v>
      </c>
      <c r="I21" s="169" t="s">
        <v>1883</v>
      </c>
      <c r="K21" s="266"/>
      <c r="L21" s="266"/>
      <c r="Q21" s="292"/>
      <c r="W21" s="325" t="str">
        <f>IF(G18&lt;10,"100",IF(AND(G18&gt;=10,G18&lt;20),"80",IF(AND(G18&gt;=20,G18&lt;50),"40",0)))</f>
        <v>80</v>
      </c>
      <c r="X21" s="26" t="s">
        <v>653</v>
      </c>
    </row>
    <row r="22" spans="4:24" s="60" customFormat="1" ht="15" customHeight="1" x14ac:dyDescent="0.2">
      <c r="F22" s="226" t="s">
        <v>1139</v>
      </c>
      <c r="G22" s="276">
        <f>(W22*5)/3</f>
        <v>200</v>
      </c>
      <c r="H22" s="272" t="s">
        <v>558</v>
      </c>
      <c r="I22" s="277" t="str">
        <f>IF(G19&lt;60,"20-00-30.",IF(AND(G19&gt;=60,G19&lt;120),"20-00-20.",IF(AND(G19&gt;=120,G19&lt;200),"20-00-15.",IF(AND(G19&gt;=200,G19&lt;280),"20-00-10.","Sultato de Amônio."))))</f>
        <v>20-00-15.</v>
      </c>
      <c r="K22" s="266"/>
      <c r="L22" s="266"/>
      <c r="Q22" s="292"/>
      <c r="W22" s="171">
        <v>120</v>
      </c>
      <c r="X22" s="26" t="s">
        <v>654</v>
      </c>
    </row>
    <row r="23" spans="4:24" s="60" customFormat="1" ht="15" customHeight="1" x14ac:dyDescent="0.2">
      <c r="D23" s="266"/>
      <c r="E23" s="266"/>
      <c r="F23" s="266"/>
      <c r="G23" s="266"/>
      <c r="H23" s="266"/>
      <c r="I23" s="279"/>
      <c r="J23" s="266"/>
      <c r="K23" s="266"/>
      <c r="L23" s="266"/>
      <c r="Q23" s="292"/>
      <c r="W23" s="26"/>
      <c r="X23" s="26"/>
    </row>
    <row r="24" spans="4:24" s="60" customFormat="1" ht="15" customHeight="1" x14ac:dyDescent="0.25">
      <c r="D24" s="164" t="s">
        <v>1055</v>
      </c>
      <c r="E24" s="34"/>
      <c r="F24" s="266"/>
      <c r="G24" s="266"/>
      <c r="H24" s="266"/>
      <c r="I24" s="266"/>
      <c r="J24" s="266"/>
      <c r="K24" s="266"/>
      <c r="L24" s="266"/>
      <c r="Q24" s="292"/>
      <c r="W24" s="26"/>
      <c r="X24" s="26"/>
    </row>
    <row r="25" spans="4:24" s="60" customFormat="1" ht="15" customHeight="1" x14ac:dyDescent="0.2">
      <c r="D25" s="281" t="s">
        <v>338</v>
      </c>
      <c r="G25" s="237">
        <v>5</v>
      </c>
      <c r="H25" s="49" t="s">
        <v>1873</v>
      </c>
      <c r="I25" s="266"/>
      <c r="J25" s="266"/>
      <c r="K25" s="266"/>
      <c r="L25" s="266"/>
      <c r="Q25" s="292"/>
      <c r="W25" s="26"/>
      <c r="X25" s="26"/>
    </row>
    <row r="26" spans="4:24" s="60" customFormat="1" ht="15" customHeight="1" x14ac:dyDescent="0.2">
      <c r="E26" s="266"/>
      <c r="G26" s="237">
        <v>150</v>
      </c>
      <c r="H26" s="49" t="s">
        <v>1874</v>
      </c>
      <c r="I26" s="266"/>
      <c r="J26" s="266"/>
      <c r="K26" s="266"/>
      <c r="L26" s="266"/>
      <c r="Q26" s="292"/>
      <c r="W26" s="26"/>
      <c r="X26" s="26"/>
    </row>
    <row r="27" spans="4:24" s="60" customFormat="1" ht="15" customHeight="1" x14ac:dyDescent="0.2">
      <c r="G27" s="271"/>
      <c r="H27" s="266"/>
      <c r="I27" s="266"/>
      <c r="J27" s="266"/>
      <c r="K27" s="266"/>
      <c r="L27" s="266"/>
      <c r="Q27" s="292"/>
      <c r="W27" s="26"/>
      <c r="X27" s="26"/>
    </row>
    <row r="28" spans="4:24" s="60" customFormat="1" ht="15" customHeight="1" x14ac:dyDescent="0.2">
      <c r="D28" s="266"/>
      <c r="F28" s="225" t="s">
        <v>637</v>
      </c>
      <c r="G28" s="224">
        <f>W28*5</f>
        <v>750</v>
      </c>
      <c r="H28" s="272" t="s">
        <v>558</v>
      </c>
      <c r="I28" s="169" t="s">
        <v>1883</v>
      </c>
      <c r="J28" s="266"/>
      <c r="K28" s="266"/>
      <c r="L28" s="266"/>
      <c r="Q28" s="292"/>
      <c r="W28" s="325" t="str">
        <f>IF(G25&lt;10,"150",IF(AND(G25&gt;=10,G25&lt;20),"100",IF(AND(G25&gt;=20,G25&lt;50),"80",0)))</f>
        <v>150</v>
      </c>
      <c r="X28" s="26" t="s">
        <v>653</v>
      </c>
    </row>
    <row r="29" spans="4:24" s="60" customFormat="1" ht="15" customHeight="1" x14ac:dyDescent="0.2">
      <c r="F29" s="226" t="s">
        <v>1139</v>
      </c>
      <c r="G29" s="276">
        <f>(W29*5)/3</f>
        <v>300</v>
      </c>
      <c r="H29" s="272" t="s">
        <v>558</v>
      </c>
      <c r="I29" s="277" t="str">
        <f>IF(G26&lt;60,"20-00-30.",IF(AND(G26&gt;=60,G26&lt;120),"20-00-20.",IF(AND(G26&gt;=120,G26&lt;200),"20-00-15.",IF(AND(G26&gt;=200,G26&lt;280),"20-00-10.","Sultato de Amônio."))))</f>
        <v>20-00-15.</v>
      </c>
      <c r="J29" s="266"/>
      <c r="K29" s="266"/>
      <c r="L29" s="266"/>
      <c r="Q29" s="292"/>
      <c r="W29" s="171">
        <v>180</v>
      </c>
      <c r="X29" s="26" t="s">
        <v>654</v>
      </c>
    </row>
    <row r="30" spans="4:24" s="60" customFormat="1" ht="15" customHeight="1" x14ac:dyDescent="0.2">
      <c r="D30" s="266"/>
      <c r="E30" s="266"/>
      <c r="F30" s="266"/>
      <c r="G30" s="266"/>
      <c r="H30" s="266"/>
      <c r="I30" s="279"/>
      <c r="J30" s="266"/>
      <c r="K30" s="266"/>
      <c r="L30" s="266"/>
      <c r="Q30" s="292"/>
      <c r="W30" s="26"/>
      <c r="X30" s="26"/>
    </row>
    <row r="31" spans="4:24" ht="15" customHeight="1" x14ac:dyDescent="0.25">
      <c r="D31" s="164" t="s">
        <v>635</v>
      </c>
      <c r="E31" s="281"/>
      <c r="F31" s="281"/>
      <c r="G31" s="281"/>
      <c r="H31" s="283"/>
      <c r="I31" s="283"/>
      <c r="J31" s="283"/>
      <c r="K31" s="283"/>
      <c r="L31" s="283"/>
      <c r="Q31" s="26"/>
      <c r="W31" s="273"/>
      <c r="X31" s="273"/>
    </row>
    <row r="32" spans="4:24" ht="15" customHeight="1" x14ac:dyDescent="0.2">
      <c r="D32" s="170" t="s">
        <v>338</v>
      </c>
      <c r="G32" s="237">
        <v>20</v>
      </c>
      <c r="H32" s="273" t="s">
        <v>1879</v>
      </c>
      <c r="I32" s="283"/>
      <c r="J32" s="283"/>
      <c r="K32" s="263"/>
      <c r="L32" s="263"/>
      <c r="Q32" s="26"/>
      <c r="W32" s="315">
        <f xml:space="preserve"> G33*(60-G32)/G35</f>
        <v>3.5</v>
      </c>
      <c r="X32" s="26" t="s">
        <v>349</v>
      </c>
    </row>
    <row r="33" spans="2:24" ht="15" customHeight="1" x14ac:dyDescent="0.2">
      <c r="E33" s="281"/>
      <c r="G33" s="5">
        <v>7</v>
      </c>
      <c r="H33" s="273" t="s">
        <v>1884</v>
      </c>
      <c r="I33" s="272"/>
      <c r="J33" s="272"/>
      <c r="K33" s="272"/>
      <c r="L33" s="272"/>
      <c r="Q33" s="26"/>
      <c r="W33" s="315"/>
      <c r="X33" s="26"/>
    </row>
    <row r="34" spans="2:24" s="27" customFormat="1" ht="15" customHeight="1" x14ac:dyDescent="0.2">
      <c r="E34" s="283"/>
      <c r="G34" s="171"/>
      <c r="H34" s="273"/>
      <c r="I34" s="272"/>
      <c r="J34" s="272"/>
      <c r="K34" s="272"/>
      <c r="L34" s="272"/>
      <c r="Q34" s="26"/>
      <c r="W34" s="315"/>
      <c r="X34" s="26"/>
    </row>
    <row r="35" spans="2:24" ht="15" customHeight="1" x14ac:dyDescent="0.2">
      <c r="D35" s="273" t="s">
        <v>340</v>
      </c>
      <c r="E35" s="281"/>
      <c r="G35" s="237">
        <v>80</v>
      </c>
      <c r="H35" s="273" t="s">
        <v>341</v>
      </c>
      <c r="I35" s="283"/>
      <c r="J35" s="283"/>
      <c r="K35" s="263"/>
      <c r="L35" s="263"/>
      <c r="O35" s="220"/>
      <c r="P35" s="27"/>
      <c r="Q35" s="27"/>
    </row>
    <row r="36" spans="2:24" ht="15" customHeight="1" x14ac:dyDescent="0.2">
      <c r="D36" s="281"/>
      <c r="E36" s="263"/>
      <c r="F36" s="283"/>
      <c r="G36" s="281"/>
      <c r="H36" s="283"/>
      <c r="I36" s="283"/>
      <c r="J36" s="283"/>
      <c r="K36" s="263"/>
      <c r="L36" s="263"/>
      <c r="O36" s="27"/>
      <c r="P36" s="27"/>
      <c r="Q36" s="27"/>
    </row>
    <row r="37" spans="2:24" ht="15" customHeight="1" x14ac:dyDescent="0.2">
      <c r="D37" s="273" t="s">
        <v>1708</v>
      </c>
      <c r="E37" s="281"/>
      <c r="G37" s="286">
        <f>IF(W32&gt;0,W32,0)</f>
        <v>3.5</v>
      </c>
      <c r="H37" s="273" t="s">
        <v>1878</v>
      </c>
      <c r="I37" s="281"/>
      <c r="J37" s="281"/>
      <c r="K37" s="281"/>
      <c r="L37" s="281"/>
      <c r="M37" s="281"/>
      <c r="N37" s="281"/>
    </row>
    <row r="38" spans="2:24" ht="15" customHeight="1" x14ac:dyDescent="0.2">
      <c r="I38" s="281"/>
      <c r="J38" s="281"/>
      <c r="K38" s="281"/>
      <c r="L38" s="281"/>
      <c r="M38" s="281"/>
      <c r="N38" s="281"/>
    </row>
    <row r="39" spans="2:24" ht="15" customHeight="1" x14ac:dyDescent="0.2">
      <c r="D39" s="169"/>
      <c r="H39" s="272"/>
    </row>
    <row r="40" spans="2:24" ht="15" customHeight="1" x14ac:dyDescent="0.2">
      <c r="D40" s="275"/>
      <c r="E40" s="281"/>
      <c r="F40" s="281"/>
      <c r="G40" s="281"/>
      <c r="H40" s="281"/>
      <c r="I40" s="281"/>
      <c r="J40" s="281"/>
      <c r="K40" s="281"/>
      <c r="L40" s="281"/>
      <c r="M40" s="281"/>
      <c r="N40" s="281"/>
    </row>
    <row r="41" spans="2:24" ht="15" customHeight="1" x14ac:dyDescent="0.2">
      <c r="D41" s="275"/>
      <c r="E41" s="281"/>
      <c r="F41" s="281"/>
      <c r="G41" s="281"/>
      <c r="H41" s="281"/>
      <c r="I41" s="281"/>
      <c r="J41" s="281"/>
      <c r="K41" s="281"/>
      <c r="L41" s="281"/>
      <c r="M41" s="281"/>
      <c r="N41" s="281"/>
    </row>
    <row r="42" spans="2:24" ht="15" customHeight="1" x14ac:dyDescent="0.2">
      <c r="D42" s="275"/>
      <c r="E42" s="281"/>
      <c r="F42" s="281"/>
      <c r="G42" s="281"/>
      <c r="H42" s="281"/>
      <c r="I42" s="281"/>
      <c r="J42" s="281"/>
      <c r="K42" s="281"/>
      <c r="L42" s="281"/>
      <c r="M42" s="281"/>
      <c r="N42" s="281"/>
    </row>
    <row r="43" spans="2:24" ht="15" customHeight="1" x14ac:dyDescent="0.2"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</row>
    <row r="44" spans="2:24" ht="15" customHeight="1" x14ac:dyDescent="0.2">
      <c r="D44" s="267"/>
      <c r="E44" s="60"/>
      <c r="F44" s="60"/>
      <c r="G44" s="60"/>
      <c r="H44" s="60"/>
      <c r="I44" s="60"/>
      <c r="J44" s="60"/>
      <c r="K44" s="60"/>
      <c r="L44" s="60"/>
      <c r="M44" s="60"/>
      <c r="N44" s="60"/>
    </row>
    <row r="45" spans="2:24" ht="15" customHeight="1" x14ac:dyDescent="0.2">
      <c r="D45" s="225" t="s">
        <v>891</v>
      </c>
      <c r="E45" s="771">
        <f ca="1">TODAY()</f>
        <v>45064</v>
      </c>
      <c r="F45" s="772"/>
      <c r="G45" s="60" t="s">
        <v>373</v>
      </c>
    </row>
    <row r="46" spans="2:24" s="60" customFormat="1" ht="15" customHeight="1" x14ac:dyDescent="0.2">
      <c r="D46" s="267"/>
    </row>
    <row r="47" spans="2:24" s="60" customFormat="1" ht="15" hidden="1" customHeight="1" x14ac:dyDescent="0.2">
      <c r="B47" s="275"/>
    </row>
    <row r="48" spans="2:24" s="60" customFormat="1" ht="15" hidden="1" customHeight="1" x14ac:dyDescent="0.2">
      <c r="B48" s="275"/>
    </row>
    <row r="49" spans="2:10" s="60" customFormat="1" ht="15" hidden="1" customHeight="1" x14ac:dyDescent="0.2">
      <c r="B49" s="267"/>
    </row>
    <row r="50" spans="2:10" s="60" customFormat="1" ht="15" hidden="1" customHeight="1" x14ac:dyDescent="0.2">
      <c r="B50" s="267"/>
    </row>
    <row r="51" spans="2:10" s="60" customFormat="1" ht="15" hidden="1" customHeight="1" x14ac:dyDescent="0.2">
      <c r="B51" s="267"/>
      <c r="G51" s="266"/>
    </row>
    <row r="52" spans="2:10" ht="15" hidden="1" customHeight="1" x14ac:dyDescent="0.2">
      <c r="B52" s="60"/>
      <c r="C52" s="267"/>
      <c r="D52" s="267"/>
      <c r="E52" s="60"/>
      <c r="F52" s="60"/>
      <c r="G52" s="60"/>
      <c r="H52" s="60"/>
      <c r="I52" s="60"/>
      <c r="J52" s="60"/>
    </row>
    <row r="53" spans="2:10" ht="15" hidden="1" customHeight="1" x14ac:dyDescent="0.2">
      <c r="B53" s="60"/>
      <c r="C53" s="267"/>
      <c r="D53" s="267"/>
      <c r="E53" s="60"/>
      <c r="F53" s="60"/>
      <c r="G53" s="60"/>
      <c r="H53" s="60"/>
      <c r="I53" s="60"/>
      <c r="J53" s="60"/>
    </row>
    <row r="54" spans="2:10" ht="15" hidden="1" customHeight="1" x14ac:dyDescent="0.2">
      <c r="B54" s="60"/>
      <c r="C54" s="267"/>
      <c r="D54" s="267"/>
      <c r="E54" s="60"/>
      <c r="F54" s="60"/>
      <c r="G54" s="60"/>
      <c r="H54" s="60"/>
      <c r="I54" s="60"/>
      <c r="J54" s="60"/>
    </row>
    <row r="55" spans="2:10" ht="15" hidden="1" customHeight="1" x14ac:dyDescent="0.2">
      <c r="B55" s="60"/>
      <c r="C55" s="267"/>
      <c r="D55" s="267"/>
      <c r="E55" s="60"/>
      <c r="F55" s="60"/>
      <c r="G55" s="60"/>
      <c r="H55" s="60"/>
      <c r="I55" s="60"/>
      <c r="J55" s="60"/>
    </row>
    <row r="56" spans="2:10" ht="15" hidden="1" customHeight="1" x14ac:dyDescent="0.2">
      <c r="B56" s="60"/>
      <c r="F56" s="60"/>
      <c r="G56" s="60"/>
      <c r="H56" s="60"/>
      <c r="I56" s="60"/>
      <c r="J56" s="60"/>
    </row>
    <row r="57" spans="2:10" ht="15" hidden="1" customHeight="1" x14ac:dyDescent="0.2"/>
    <row r="58" spans="2:10" ht="15" hidden="1" customHeight="1" x14ac:dyDescent="0.2"/>
  </sheetData>
  <sheetProtection algorithmName="SHA-512" hashValue="vdQFA1n5tbk8i8nt5xcf3W1YtBe5JQcVPSb4hA63WrWV48CHUM5YP9eOS2vPyE6/u08faZJdF6FcfVTbwySecg==" saltValue="FXTyI6WnHp+CS88xbVHFmw==" spinCount="100000" sheet="1" objects="1" scenarios="1" selectLockedCells="1"/>
  <mergeCells count="3">
    <mergeCell ref="E45:F45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rowBreaks count="1" manualBreakCount="1">
    <brk id="46" max="9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A1:X51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7" width="9.140625" style="266" hidden="1" customWidth="1"/>
    <col min="18" max="24" width="0" style="266" hidden="1" customWidth="1"/>
    <col min="25" max="16384" width="9.140625" style="266" hidden="1"/>
  </cols>
  <sheetData>
    <row r="1" spans="1:1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8" ht="24.95" customHeight="1" x14ac:dyDescent="0.2">
      <c r="C6" s="699" t="s">
        <v>1870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8" ht="15" customHeight="1" x14ac:dyDescent="0.2">
      <c r="E7" s="235"/>
      <c r="F7" s="235"/>
      <c r="G7" s="235"/>
      <c r="H7" s="235"/>
      <c r="I7" s="235"/>
      <c r="J7" s="235"/>
      <c r="K7" s="235"/>
      <c r="L7" s="235"/>
    </row>
    <row r="8" spans="1:18" ht="15" customHeight="1" x14ac:dyDescent="0.2">
      <c r="D8" s="31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8" ht="15" customHeight="1" x14ac:dyDescent="0.2"/>
    <row r="10" spans="1:18" s="164" customFormat="1" ht="15" customHeight="1" x14ac:dyDescent="0.25">
      <c r="E10" s="486"/>
      <c r="F10" s="486"/>
      <c r="G10" s="486"/>
      <c r="H10" s="486"/>
      <c r="I10" s="486"/>
      <c r="J10" s="486"/>
      <c r="K10" s="486"/>
    </row>
    <row r="11" spans="1:18" s="164" customFormat="1" ht="15" customHeight="1" x14ac:dyDescent="0.25">
      <c r="E11" s="322"/>
      <c r="F11" s="322"/>
      <c r="G11" s="322"/>
      <c r="H11" s="322"/>
      <c r="I11" s="322"/>
    </row>
    <row r="12" spans="1:18" ht="15" customHeight="1" x14ac:dyDescent="0.2">
      <c r="D12" s="170" t="s">
        <v>1208</v>
      </c>
      <c r="G12" s="237">
        <v>3</v>
      </c>
      <c r="H12" s="298" t="s">
        <v>2070</v>
      </c>
      <c r="I12" s="237">
        <v>2</v>
      </c>
      <c r="J12" s="298" t="s">
        <v>2069</v>
      </c>
      <c r="K12" s="288">
        <f>10000/(G12*I12)</f>
        <v>1666.6666666666667</v>
      </c>
      <c r="L12" s="281" t="s">
        <v>353</v>
      </c>
    </row>
    <row r="13" spans="1:18" ht="15" customHeight="1" x14ac:dyDescent="0.2"/>
    <row r="14" spans="1:18" s="60" customFormat="1" ht="15" customHeight="1" x14ac:dyDescent="0.2">
      <c r="D14" s="281" t="s">
        <v>338</v>
      </c>
      <c r="G14" s="237">
        <v>5</v>
      </c>
      <c r="H14" s="49" t="s">
        <v>1873</v>
      </c>
      <c r="I14" s="263"/>
      <c r="J14" s="263"/>
      <c r="K14" s="27"/>
      <c r="L14" s="27"/>
      <c r="M14" s="27"/>
      <c r="N14" s="266"/>
    </row>
    <row r="15" spans="1:18" s="60" customFormat="1" ht="15" customHeight="1" x14ac:dyDescent="0.2">
      <c r="F15" s="266"/>
      <c r="G15" s="237">
        <v>90</v>
      </c>
      <c r="H15" s="49" t="s">
        <v>1874</v>
      </c>
      <c r="I15" s="272"/>
      <c r="J15" s="266"/>
      <c r="K15" s="266"/>
      <c r="L15" s="266"/>
      <c r="M15" s="266"/>
      <c r="N15" s="266"/>
    </row>
    <row r="16" spans="1:18" s="60" customFormat="1" ht="15" customHeight="1" x14ac:dyDescent="0.2">
      <c r="H16" s="271"/>
      <c r="I16" s="266"/>
      <c r="J16" s="266"/>
      <c r="K16" s="266"/>
      <c r="L16" s="266"/>
      <c r="M16" s="266"/>
      <c r="N16" s="266"/>
      <c r="O16" s="292"/>
      <c r="P16" s="292"/>
      <c r="Q16" s="292"/>
      <c r="R16" s="292"/>
    </row>
    <row r="17" spans="4:24" s="60" customFormat="1" ht="15" customHeight="1" x14ac:dyDescent="0.2">
      <c r="D17" s="170" t="s">
        <v>846</v>
      </c>
      <c r="E17" s="266"/>
      <c r="G17" s="237">
        <v>20</v>
      </c>
      <c r="H17" s="49" t="s">
        <v>349</v>
      </c>
      <c r="I17" s="266"/>
      <c r="J17" s="266"/>
      <c r="K17" s="266"/>
      <c r="L17" s="266"/>
      <c r="M17" s="266"/>
      <c r="N17" s="266"/>
      <c r="O17" s="292"/>
      <c r="P17" s="292"/>
      <c r="Q17" s="292"/>
      <c r="R17" s="292"/>
    </row>
    <row r="18" spans="4:24" s="60" customFormat="1" ht="15" customHeight="1" x14ac:dyDescent="0.2">
      <c r="H18" s="49"/>
      <c r="J18" s="266"/>
      <c r="K18" s="266"/>
      <c r="L18" s="266"/>
      <c r="M18" s="266"/>
      <c r="N18" s="266"/>
      <c r="O18" s="292"/>
      <c r="P18" s="292"/>
      <c r="Q18" s="292"/>
      <c r="R18" s="292"/>
    </row>
    <row r="19" spans="4:24" ht="15" customHeight="1" x14ac:dyDescent="0.2">
      <c r="F19" s="225" t="s">
        <v>637</v>
      </c>
      <c r="G19" s="224">
        <f>1000*((W19*5)/K12)</f>
        <v>300</v>
      </c>
      <c r="H19" s="280" t="s">
        <v>558</v>
      </c>
      <c r="I19" s="169" t="s">
        <v>1140</v>
      </c>
      <c r="O19" s="26"/>
      <c r="R19" s="26"/>
      <c r="W19" s="325" t="str">
        <f>IF(G14&lt;10,"100",IF(AND(G14&gt;=10,G14&lt;20),"80",IF(AND(G14&gt;=20,G14&lt;50),"40",0)))</f>
        <v>100</v>
      </c>
      <c r="X19" s="26" t="s">
        <v>651</v>
      </c>
    </row>
    <row r="20" spans="4:24" ht="15" customHeight="1" x14ac:dyDescent="0.2">
      <c r="F20" s="226" t="s">
        <v>1139</v>
      </c>
      <c r="G20" s="276">
        <f>1000*((W20*5)/K12)/3</f>
        <v>89.999999999999986</v>
      </c>
      <c r="H20" s="280" t="s">
        <v>558</v>
      </c>
      <c r="I20" s="277" t="str">
        <f>IF(G15&lt;60,"20-00-30",IF(AND(G15&gt;=60,G15&lt;120),"20-00-20",IF(AND(G15&gt;=120,G15&lt;200),"20-00-15",IF(AND(G15&gt;=200,G15&lt;280),"20-00-10","Sultato de Amônio"))))</f>
        <v>20-00-20</v>
      </c>
      <c r="O20" s="26"/>
      <c r="R20" s="26"/>
      <c r="W20" s="171">
        <f>IF(G17&lt;15,50,IF(AND(G17&gt;=15,G17&lt;20),70,IF(AND(G17&gt;=20,G17&lt;30),90,130)))</f>
        <v>90</v>
      </c>
      <c r="X20" s="26" t="s">
        <v>652</v>
      </c>
    </row>
    <row r="21" spans="4:24" ht="15" customHeight="1" x14ac:dyDescent="0.2">
      <c r="J21" s="279"/>
      <c r="O21" s="26"/>
      <c r="R21" s="26"/>
      <c r="W21" s="26"/>
      <c r="X21" s="26"/>
    </row>
    <row r="22" spans="4:24" ht="15" customHeight="1" x14ac:dyDescent="0.25">
      <c r="D22" s="282" t="s">
        <v>25</v>
      </c>
      <c r="F22" s="281"/>
      <c r="G22" s="281"/>
      <c r="H22" s="281"/>
      <c r="I22" s="283"/>
      <c r="J22" s="283"/>
      <c r="K22" s="283"/>
      <c r="L22" s="283"/>
      <c r="O22" s="26"/>
      <c r="R22" s="26"/>
      <c r="W22" s="273"/>
      <c r="X22" s="273"/>
    </row>
    <row r="23" spans="4:24" ht="15" customHeight="1" x14ac:dyDescent="0.2">
      <c r="D23" s="281" t="s">
        <v>338</v>
      </c>
      <c r="G23" s="237">
        <v>20</v>
      </c>
      <c r="H23" s="273" t="s">
        <v>1879</v>
      </c>
      <c r="I23" s="273"/>
      <c r="J23" s="283"/>
      <c r="K23" s="283"/>
      <c r="L23" s="263"/>
      <c r="O23" s="26"/>
      <c r="R23" s="26"/>
      <c r="W23" s="315">
        <f xml:space="preserve"> G24*(70-G23)/G26</f>
        <v>3.8888888888888888</v>
      </c>
      <c r="X23" s="26" t="s">
        <v>349</v>
      </c>
    </row>
    <row r="24" spans="4:24" ht="15" customHeight="1" x14ac:dyDescent="0.2">
      <c r="F24" s="281"/>
      <c r="G24" s="237">
        <v>7</v>
      </c>
      <c r="H24" s="273" t="s">
        <v>1884</v>
      </c>
      <c r="I24" s="171"/>
      <c r="J24" s="272"/>
      <c r="K24" s="272"/>
      <c r="L24" s="272"/>
      <c r="O24" s="26"/>
      <c r="P24" s="315"/>
      <c r="Q24" s="26"/>
      <c r="R24" s="26"/>
    </row>
    <row r="25" spans="4:24" s="27" customFormat="1" ht="15" customHeight="1" x14ac:dyDescent="0.2">
      <c r="F25" s="283"/>
      <c r="G25" s="263"/>
      <c r="H25" s="273"/>
      <c r="I25" s="171"/>
      <c r="J25" s="272"/>
      <c r="K25" s="272"/>
      <c r="L25" s="272"/>
      <c r="O25" s="26"/>
      <c r="P25" s="315"/>
      <c r="Q25" s="26"/>
      <c r="R25" s="26"/>
    </row>
    <row r="26" spans="4:24" ht="15" customHeight="1" x14ac:dyDescent="0.2">
      <c r="D26" s="273" t="s">
        <v>340</v>
      </c>
      <c r="F26" s="281"/>
      <c r="G26" s="237">
        <v>90</v>
      </c>
      <c r="H26" s="49" t="s">
        <v>341</v>
      </c>
      <c r="I26" s="273"/>
      <c r="J26" s="283"/>
      <c r="K26" s="283"/>
      <c r="L26" s="263"/>
      <c r="O26" s="26"/>
      <c r="P26" s="26"/>
      <c r="Q26" s="26"/>
      <c r="R26" s="26"/>
    </row>
    <row r="27" spans="4:24" ht="15" customHeight="1" x14ac:dyDescent="0.2">
      <c r="E27" s="281"/>
      <c r="F27" s="263"/>
      <c r="G27" s="283"/>
      <c r="H27" s="283"/>
      <c r="I27" s="283"/>
      <c r="J27" s="283"/>
      <c r="K27" s="283"/>
      <c r="L27" s="263"/>
      <c r="M27" s="283"/>
      <c r="N27" s="283"/>
    </row>
    <row r="28" spans="4:24" ht="15" customHeight="1" x14ac:dyDescent="0.2">
      <c r="D28" s="273" t="s">
        <v>1708</v>
      </c>
      <c r="G28" s="286">
        <f>IF(W23&gt;0,W23,0)</f>
        <v>3.8888888888888888</v>
      </c>
      <c r="H28" s="273" t="s">
        <v>1878</v>
      </c>
      <c r="I28" s="281"/>
      <c r="K28" s="281"/>
      <c r="L28" s="281"/>
      <c r="M28" s="281"/>
      <c r="N28" s="281"/>
    </row>
    <row r="29" spans="4:24" ht="15" customHeight="1" x14ac:dyDescent="0.2">
      <c r="E29" s="275"/>
      <c r="F29" s="220"/>
      <c r="G29" s="280"/>
      <c r="H29" s="281"/>
      <c r="I29" s="281"/>
      <c r="J29" s="281"/>
      <c r="K29" s="281"/>
      <c r="L29" s="281"/>
      <c r="M29" s="281"/>
      <c r="N29" s="281"/>
    </row>
    <row r="30" spans="4:24" ht="15" customHeight="1" x14ac:dyDescent="0.2">
      <c r="E30" s="169"/>
      <c r="I30" s="272"/>
    </row>
    <row r="31" spans="4:24" ht="15" customHeight="1" x14ac:dyDescent="0.2">
      <c r="E31" s="275"/>
      <c r="F31" s="224"/>
      <c r="G31" s="280"/>
    </row>
    <row r="32" spans="4:24" ht="15" customHeight="1" x14ac:dyDescent="0.2">
      <c r="F32" s="213"/>
      <c r="G32" s="213"/>
      <c r="H32" s="213"/>
      <c r="I32" s="272"/>
      <c r="J32" s="213"/>
      <c r="K32" s="213"/>
      <c r="L32" s="213"/>
      <c r="M32" s="213"/>
      <c r="N32" s="213"/>
    </row>
    <row r="33" spans="4:14" ht="15" customHeight="1" x14ac:dyDescent="0.2">
      <c r="E33" s="275"/>
      <c r="F33" s="281"/>
      <c r="G33" s="281"/>
      <c r="H33" s="281"/>
      <c r="I33" s="281"/>
      <c r="J33" s="281"/>
      <c r="K33" s="281"/>
      <c r="L33" s="281"/>
      <c r="M33" s="281"/>
      <c r="N33" s="281"/>
    </row>
    <row r="34" spans="4:14" ht="15" customHeight="1" x14ac:dyDescent="0.2">
      <c r="E34" s="275"/>
      <c r="F34" s="281"/>
      <c r="G34" s="281"/>
      <c r="H34" s="281"/>
      <c r="I34" s="281"/>
      <c r="J34" s="281"/>
      <c r="K34" s="281"/>
      <c r="L34" s="281"/>
      <c r="M34" s="281"/>
      <c r="N34" s="281"/>
    </row>
    <row r="35" spans="4:14" ht="15" customHeight="1" x14ac:dyDescent="0.2">
      <c r="E35" s="275"/>
      <c r="F35" s="281"/>
      <c r="G35" s="281"/>
      <c r="H35" s="281"/>
      <c r="I35" s="281"/>
      <c r="J35" s="281"/>
      <c r="K35" s="281"/>
      <c r="L35" s="281"/>
      <c r="M35" s="281"/>
      <c r="N35" s="281"/>
    </row>
    <row r="36" spans="4:14" ht="15" customHeight="1" x14ac:dyDescent="0.2">
      <c r="E36" s="774"/>
      <c r="F36" s="774"/>
      <c r="G36" s="774"/>
      <c r="H36" s="774"/>
      <c r="I36" s="774"/>
      <c r="J36" s="774"/>
      <c r="K36" s="774"/>
      <c r="L36" s="774"/>
      <c r="M36" s="774"/>
      <c r="N36" s="774"/>
    </row>
    <row r="37" spans="4:14" ht="15" customHeight="1" x14ac:dyDescent="0.2">
      <c r="E37" s="267"/>
      <c r="F37" s="60"/>
      <c r="G37" s="60"/>
      <c r="H37" s="60"/>
      <c r="I37" s="60"/>
      <c r="J37" s="60"/>
      <c r="K37" s="60"/>
      <c r="L37" s="60"/>
      <c r="M37" s="60"/>
      <c r="N37" s="60"/>
    </row>
    <row r="38" spans="4:14" ht="15" customHeight="1" x14ac:dyDescent="0.2">
      <c r="D38" s="225" t="s">
        <v>891</v>
      </c>
      <c r="E38" s="771">
        <f ca="1">TODAY()</f>
        <v>45064</v>
      </c>
      <c r="F38" s="772"/>
      <c r="G38" s="60" t="s">
        <v>373</v>
      </c>
    </row>
    <row r="39" spans="4:14" s="60" customFormat="1" ht="15" customHeight="1" x14ac:dyDescent="0.2">
      <c r="E39" s="267"/>
    </row>
    <row r="40" spans="4:14" s="60" customFormat="1" ht="15" hidden="1" customHeight="1" x14ac:dyDescent="0.2">
      <c r="E40" s="267"/>
    </row>
    <row r="41" spans="4:14" s="60" customFormat="1" ht="15" hidden="1" customHeight="1" x14ac:dyDescent="0.2">
      <c r="E41" s="267"/>
    </row>
    <row r="42" spans="4:14" s="60" customFormat="1" ht="15" hidden="1" customHeight="1" x14ac:dyDescent="0.2">
      <c r="E42" s="267"/>
    </row>
    <row r="43" spans="4:14" s="60" customFormat="1" ht="15" hidden="1" customHeight="1" x14ac:dyDescent="0.2">
      <c r="E43" s="267"/>
    </row>
    <row r="44" spans="4:14" s="60" customFormat="1" ht="15" hidden="1" customHeight="1" x14ac:dyDescent="0.2">
      <c r="E44" s="267"/>
      <c r="J44" s="266"/>
    </row>
    <row r="45" spans="4:14" ht="15" hidden="1" customHeight="1" x14ac:dyDescent="0.2">
      <c r="E45" s="60"/>
      <c r="F45" s="267"/>
      <c r="G45" s="267"/>
      <c r="H45" s="60"/>
      <c r="I45" s="60"/>
      <c r="J45" s="60"/>
      <c r="K45" s="60"/>
      <c r="L45" s="60"/>
    </row>
    <row r="46" spans="4:14" ht="15" hidden="1" customHeight="1" x14ac:dyDescent="0.2">
      <c r="E46" s="60"/>
      <c r="F46" s="267"/>
      <c r="G46" s="267"/>
      <c r="H46" s="60"/>
      <c r="I46" s="60"/>
      <c r="J46" s="60"/>
      <c r="K46" s="60"/>
      <c r="L46" s="60"/>
    </row>
    <row r="47" spans="4:14" ht="15" hidden="1" customHeight="1" x14ac:dyDescent="0.2">
      <c r="E47" s="60"/>
      <c r="F47" s="267"/>
      <c r="G47" s="267"/>
      <c r="H47" s="60"/>
      <c r="I47" s="60"/>
      <c r="J47" s="60"/>
      <c r="K47" s="60"/>
      <c r="L47" s="60"/>
    </row>
    <row r="48" spans="4:14" ht="15" hidden="1" customHeight="1" x14ac:dyDescent="0.2">
      <c r="E48" s="60"/>
      <c r="F48" s="267"/>
      <c r="G48" s="267"/>
      <c r="H48" s="60"/>
      <c r="I48" s="60"/>
      <c r="J48" s="60"/>
      <c r="K48" s="60"/>
      <c r="L48" s="60"/>
    </row>
    <row r="49" spans="5:12" ht="15" hidden="1" customHeight="1" x14ac:dyDescent="0.2">
      <c r="E49" s="60"/>
      <c r="I49" s="60"/>
      <c r="J49" s="60"/>
      <c r="K49" s="60"/>
      <c r="L49" s="60"/>
    </row>
    <row r="50" spans="5:12" ht="15" hidden="1" customHeight="1" x14ac:dyDescent="0.2"/>
    <row r="51" spans="5:12" ht="15" hidden="1" customHeight="1" x14ac:dyDescent="0.2"/>
  </sheetData>
  <sheetProtection algorithmName="SHA-512" hashValue="mf/7bcJmUQlIAAZW1SsPVLWRvkV3H2a2Uu7Y39TXnZ4Dp/Ay81X4zKeG/Yv4PZFEVipv0OZTdi7e013UGB6H7A==" saltValue="ADHll0vq1YXFiMnp6qcuzQ==" spinCount="100000" sheet="1" objects="1" scenarios="1" selectLockedCells="1"/>
  <mergeCells count="4">
    <mergeCell ref="E38:F38"/>
    <mergeCell ref="E36:N36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pageSetUpPr fitToPage="1"/>
  </sheetPr>
  <dimension ref="A1:X4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1886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E7" s="235"/>
      <c r="F7" s="235"/>
      <c r="G7" s="235"/>
      <c r="H7" s="235"/>
      <c r="I7" s="235"/>
      <c r="J7" s="235"/>
      <c r="K7" s="235"/>
    </row>
    <row r="8" spans="1:16" ht="15" customHeight="1" x14ac:dyDescent="0.2">
      <c r="D8" s="31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1208</v>
      </c>
      <c r="F11" s="273" t="s">
        <v>2283</v>
      </c>
      <c r="G11" s="318"/>
      <c r="H11" s="208"/>
      <c r="I11" s="27"/>
      <c r="J11" s="299"/>
      <c r="K11" s="27"/>
    </row>
    <row r="12" spans="1:16" ht="15" customHeight="1" x14ac:dyDescent="0.2">
      <c r="H12" s="208"/>
      <c r="I12" s="27"/>
      <c r="J12" s="299"/>
      <c r="K12" s="27"/>
    </row>
    <row r="13" spans="1:16" ht="15" customHeight="1" x14ac:dyDescent="0.2">
      <c r="D13" s="266" t="s">
        <v>338</v>
      </c>
      <c r="G13" s="237">
        <v>4</v>
      </c>
      <c r="H13" s="49" t="s">
        <v>1873</v>
      </c>
      <c r="I13" s="271"/>
    </row>
    <row r="14" spans="1:16" ht="15" customHeight="1" x14ac:dyDescent="0.2">
      <c r="G14" s="237">
        <v>90</v>
      </c>
      <c r="H14" s="49" t="s">
        <v>1874</v>
      </c>
      <c r="I14" s="271"/>
    </row>
    <row r="15" spans="1:16" ht="15" customHeight="1" x14ac:dyDescent="0.2">
      <c r="G15" s="7">
        <v>8.9499999999999993</v>
      </c>
      <c r="H15" s="49" t="s">
        <v>1887</v>
      </c>
      <c r="I15" s="271"/>
    </row>
    <row r="16" spans="1:16" ht="15" customHeight="1" x14ac:dyDescent="0.2">
      <c r="G16" s="10">
        <v>40</v>
      </c>
      <c r="H16" s="49" t="s">
        <v>339</v>
      </c>
      <c r="I16" s="271"/>
    </row>
    <row r="17" spans="4:24" ht="15" customHeight="1" x14ac:dyDescent="0.2">
      <c r="G17" s="265"/>
      <c r="H17" s="49"/>
      <c r="I17" s="271"/>
    </row>
    <row r="18" spans="4:24" ht="15" customHeight="1" x14ac:dyDescent="0.2">
      <c r="D18" s="266" t="s">
        <v>340</v>
      </c>
      <c r="G18" s="237">
        <v>90</v>
      </c>
      <c r="H18" s="49" t="s">
        <v>341</v>
      </c>
      <c r="I18" s="271"/>
    </row>
    <row r="19" spans="4:24" ht="15" customHeight="1" x14ac:dyDescent="0.2"/>
    <row r="20" spans="4:24" s="213" customFormat="1" ht="15" customHeight="1" x14ac:dyDescent="0.25">
      <c r="D20" s="291" t="s">
        <v>371</v>
      </c>
      <c r="E20" s="291"/>
      <c r="F20" s="291"/>
      <c r="G20" s="291"/>
      <c r="H20" s="291"/>
      <c r="I20" s="27"/>
      <c r="J20" s="266"/>
      <c r="K20" s="266"/>
      <c r="L20" s="266"/>
      <c r="M20" s="266"/>
      <c r="N20" s="266"/>
      <c r="W20" s="266"/>
    </row>
    <row r="21" spans="4:24" ht="15" customHeight="1" x14ac:dyDescent="0.2">
      <c r="D21" s="170" t="s">
        <v>1708</v>
      </c>
      <c r="G21" s="286">
        <f>IF(W21&gt;0,W21,0)</f>
        <v>2.9833333333333334</v>
      </c>
      <c r="H21" s="300" t="s">
        <v>349</v>
      </c>
      <c r="J21" s="213"/>
      <c r="K21" s="213"/>
      <c r="L21" s="213"/>
      <c r="M21" s="213"/>
      <c r="W21" s="315">
        <f xml:space="preserve"> G15*(70-G16)/G18</f>
        <v>2.9833333333333334</v>
      </c>
      <c r="X21" s="26" t="s">
        <v>119</v>
      </c>
    </row>
    <row r="22" spans="4:24" ht="15" customHeight="1" x14ac:dyDescent="0.2">
      <c r="F22" s="222"/>
      <c r="W22" s="26"/>
      <c r="X22" s="26"/>
    </row>
    <row r="23" spans="4:24" ht="15" customHeight="1" x14ac:dyDescent="0.2">
      <c r="D23" s="170" t="s">
        <v>1701</v>
      </c>
      <c r="G23" s="224">
        <v>5</v>
      </c>
      <c r="H23" s="305" t="s">
        <v>1298</v>
      </c>
      <c r="I23" s="221" t="s">
        <v>1299</v>
      </c>
    </row>
    <row r="24" spans="4:24" ht="15" customHeight="1" x14ac:dyDescent="0.2">
      <c r="G24" s="224" t="str">
        <f>IF(G13&lt;20,"230",IF(AND(G13&gt;=20,G13&lt;60),"180",IF(AND(G13&gt;=60,G13&lt;100),"130",IF(AND(G13&gt;=100,G13&lt;150),"80",0))))</f>
        <v>230</v>
      </c>
      <c r="H24" s="213" t="s">
        <v>1294</v>
      </c>
      <c r="I24" s="303"/>
      <c r="J24" s="271"/>
      <c r="K24" s="271"/>
      <c r="W24" s="171">
        <v>150</v>
      </c>
      <c r="X24" s="26" t="s">
        <v>343</v>
      </c>
    </row>
    <row r="25" spans="4:24" ht="15" customHeight="1" x14ac:dyDescent="0.2">
      <c r="G25" s="224">
        <v>10</v>
      </c>
      <c r="H25" s="213" t="s">
        <v>1295</v>
      </c>
      <c r="I25" s="208"/>
      <c r="J25" s="306"/>
      <c r="K25" s="27"/>
      <c r="L25" s="263"/>
      <c r="M25" s="27"/>
      <c r="W25" s="171" t="str">
        <f>IF(G13&lt;10,"400",IF(AND(G13&gt;=10,G13&lt;20),"300",IF(AND(G13&gt;=20,G13&lt;100),"150",IF(AND(G13&gt;=100,G13&lt;200),"80",0))))</f>
        <v>400</v>
      </c>
      <c r="X25" s="26" t="s">
        <v>344</v>
      </c>
    </row>
    <row r="26" spans="4:24" ht="15" customHeight="1" x14ac:dyDescent="0.2">
      <c r="F26" s="169"/>
      <c r="N26" s="263"/>
      <c r="W26" s="26"/>
      <c r="X26" s="26"/>
    </row>
    <row r="27" spans="4:24" ht="15" customHeight="1" x14ac:dyDescent="0.2">
      <c r="D27" s="281" t="s">
        <v>342</v>
      </c>
      <c r="G27" s="224">
        <v>20</v>
      </c>
      <c r="H27" s="49" t="s">
        <v>1296</v>
      </c>
      <c r="I27" s="222" t="str">
        <f>IF(G14&lt;80,"20-00-30",IF(AND(G14&gt;=80,G14&lt;150),"20-00-20",IF(AND(G14&gt;=150,G14&lt;200),"20-00-15",IF(AND(G14&gt;=200,G14&lt;280),"20-00-10","Sulf. Amônio"))))</f>
        <v>20-00-20</v>
      </c>
      <c r="J27" s="308" t="s">
        <v>191</v>
      </c>
      <c r="N27" s="263"/>
      <c r="W27" s="26"/>
      <c r="X27" s="26"/>
    </row>
    <row r="28" spans="4:24" ht="15" customHeight="1" x14ac:dyDescent="0.2">
      <c r="G28" s="224">
        <v>30</v>
      </c>
      <c r="H28" s="266" t="s">
        <v>1297</v>
      </c>
      <c r="I28" s="222" t="str">
        <f>I27</f>
        <v>20-00-20</v>
      </c>
      <c r="J28" s="308" t="s">
        <v>192</v>
      </c>
      <c r="N28" s="263"/>
    </row>
    <row r="29" spans="4:24" ht="15" customHeight="1" x14ac:dyDescent="0.2">
      <c r="D29" s="27"/>
      <c r="E29" s="27"/>
      <c r="L29" s="27"/>
      <c r="M29" s="27"/>
      <c r="N29" s="27"/>
    </row>
    <row r="30" spans="4:24" ht="15" customHeight="1" x14ac:dyDescent="0.2">
      <c r="D30" s="27"/>
      <c r="E30" s="27"/>
      <c r="F30" s="224"/>
      <c r="H30" s="221"/>
      <c r="I30" s="308"/>
      <c r="L30" s="27"/>
      <c r="M30" s="27"/>
      <c r="N30" s="27"/>
    </row>
    <row r="31" spans="4:24" ht="15" customHeight="1" x14ac:dyDescent="0.2">
      <c r="D31" s="169"/>
    </row>
    <row r="32" spans="4:24" ht="15" customHeight="1" x14ac:dyDescent="0.2"/>
    <row r="33" spans="2:7" ht="15" customHeight="1" x14ac:dyDescent="0.2"/>
    <row r="34" spans="2:7" ht="15" customHeight="1" x14ac:dyDescent="0.2"/>
    <row r="35" spans="2:7" ht="15" customHeight="1" x14ac:dyDescent="0.2"/>
    <row r="36" spans="2:7" ht="15" customHeight="1" x14ac:dyDescent="0.2"/>
    <row r="37" spans="2:7" ht="15" customHeight="1" x14ac:dyDescent="0.2"/>
    <row r="38" spans="2:7" ht="15" customHeight="1" x14ac:dyDescent="0.2"/>
    <row r="39" spans="2:7" s="60" customFormat="1" ht="15" customHeight="1" x14ac:dyDescent="0.2">
      <c r="D39" s="267"/>
    </row>
    <row r="40" spans="2:7" s="60" customFormat="1" ht="15" customHeight="1" x14ac:dyDescent="0.2">
      <c r="D40" s="226" t="s">
        <v>891</v>
      </c>
      <c r="E40" s="771">
        <f ca="1">TODAY()</f>
        <v>45064</v>
      </c>
      <c r="F40" s="772"/>
      <c r="G40" s="60" t="s">
        <v>373</v>
      </c>
    </row>
    <row r="41" spans="2:7" s="60" customFormat="1" ht="15" customHeight="1" x14ac:dyDescent="0.2">
      <c r="B41" s="267"/>
    </row>
    <row r="42" spans="2:7" s="60" customFormat="1" ht="15" hidden="1" customHeight="1" x14ac:dyDescent="0.2">
      <c r="B42" s="267"/>
    </row>
    <row r="43" spans="2:7" s="60" customFormat="1" ht="15" hidden="1" customHeight="1" x14ac:dyDescent="0.2">
      <c r="B43" s="267"/>
    </row>
    <row r="44" spans="2:7" s="60" customFormat="1" ht="15" hidden="1" customHeight="1" x14ac:dyDescent="0.2">
      <c r="B44" s="267"/>
    </row>
    <row r="45" spans="2:7" s="60" customFormat="1" ht="15" hidden="1" customHeight="1" x14ac:dyDescent="0.2">
      <c r="B45" s="267"/>
      <c r="G45" s="266"/>
    </row>
    <row r="46" spans="2:7" ht="15" hidden="1" customHeight="1" x14ac:dyDescent="0.2"/>
    <row r="47" spans="2:7" ht="15" hidden="1" customHeight="1" x14ac:dyDescent="0.2"/>
    <row r="48" spans="2:7" ht="15" hidden="1" customHeight="1" x14ac:dyDescent="0.2"/>
  </sheetData>
  <sheetProtection algorithmName="SHA-512" hashValue="PmCma5v80j8JFfswNvVXXH3Nv+FXwpfAJsDuwHanVI+xnPqF+TE/Nkkr9U8Ty9oThweFCigg4x/1eCnyJZ5Nog==" saltValue="dSw74oJwWyxX/U8DTxEFsw==" spinCount="100000" sheet="1" objects="1" scenarios="1" selectLockedCells="1"/>
  <mergeCells count="3">
    <mergeCell ref="E8:M8"/>
    <mergeCell ref="E40:F40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pageSetUpPr fitToPage="1"/>
  </sheetPr>
  <dimension ref="A1:Y4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8" width="9.140625" style="266" hidden="1" customWidth="1"/>
    <col min="19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1888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E7" s="235"/>
      <c r="F7" s="235"/>
      <c r="G7" s="235"/>
      <c r="H7" s="235"/>
      <c r="I7" s="235"/>
      <c r="J7" s="235"/>
      <c r="K7" s="235"/>
    </row>
    <row r="8" spans="1:16" ht="15" customHeight="1" x14ac:dyDescent="0.2">
      <c r="D8" s="31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s="287" customFormat="1" ht="15" customHeight="1" x14ac:dyDescent="0.25"/>
    <row r="10" spans="1:16" ht="15" customHeight="1" x14ac:dyDescent="0.2"/>
    <row r="11" spans="1:16" s="213" customFormat="1" ht="15" customHeight="1" x14ac:dyDescent="0.2">
      <c r="D11" s="49" t="s">
        <v>2284</v>
      </c>
    </row>
    <row r="12" spans="1:16" ht="15" customHeight="1" x14ac:dyDescent="0.2">
      <c r="E12" s="49" t="s">
        <v>1890</v>
      </c>
    </row>
    <row r="13" spans="1:16" ht="15" customHeight="1" x14ac:dyDescent="0.2"/>
    <row r="14" spans="1:16" ht="15" customHeight="1" x14ac:dyDescent="0.2">
      <c r="D14" s="266" t="s">
        <v>338</v>
      </c>
      <c r="G14" s="237">
        <v>8</v>
      </c>
      <c r="H14" s="49" t="s">
        <v>1930</v>
      </c>
      <c r="I14" s="271"/>
    </row>
    <row r="15" spans="1:16" ht="15" customHeight="1" x14ac:dyDescent="0.2">
      <c r="G15" s="237">
        <v>150</v>
      </c>
      <c r="H15" s="49" t="s">
        <v>1931</v>
      </c>
      <c r="I15" s="271"/>
    </row>
    <row r="16" spans="1:16" ht="15" customHeight="1" x14ac:dyDescent="0.3">
      <c r="G16" s="237">
        <v>9</v>
      </c>
      <c r="H16" s="49" t="s">
        <v>1932</v>
      </c>
      <c r="I16" s="271"/>
    </row>
    <row r="17" spans="4:25" ht="15" customHeight="1" x14ac:dyDescent="0.2">
      <c r="G17" s="237">
        <v>20</v>
      </c>
      <c r="H17" s="49" t="s">
        <v>1929</v>
      </c>
      <c r="I17" s="271"/>
    </row>
    <row r="18" spans="4:25" ht="15" customHeight="1" x14ac:dyDescent="0.2">
      <c r="G18" s="265"/>
      <c r="H18" s="49"/>
      <c r="I18" s="271"/>
    </row>
    <row r="19" spans="4:25" ht="15" customHeight="1" x14ac:dyDescent="0.2">
      <c r="D19" s="266" t="s">
        <v>340</v>
      </c>
      <c r="G19" s="237">
        <v>80</v>
      </c>
      <c r="H19" s="49" t="s">
        <v>341</v>
      </c>
      <c r="I19" s="271"/>
    </row>
    <row r="20" spans="4:25" ht="15" customHeight="1" x14ac:dyDescent="0.2">
      <c r="F20" s="265"/>
    </row>
    <row r="21" spans="4:25" ht="15" customHeight="1" x14ac:dyDescent="0.2">
      <c r="F21" s="265"/>
    </row>
    <row r="22" spans="4:25" ht="15" customHeight="1" x14ac:dyDescent="0.25">
      <c r="D22" s="291" t="s">
        <v>371</v>
      </c>
      <c r="E22" s="291"/>
      <c r="F22" s="291"/>
      <c r="G22" s="291"/>
      <c r="H22" s="291"/>
      <c r="I22" s="27"/>
    </row>
    <row r="23" spans="4:25" ht="15" customHeight="1" x14ac:dyDescent="0.2">
      <c r="D23" s="305" t="s">
        <v>348</v>
      </c>
      <c r="G23" s="286">
        <f>IF(W23&gt;0,W23,0)</f>
        <v>4.5</v>
      </c>
      <c r="H23" s="300" t="s">
        <v>349</v>
      </c>
      <c r="I23" s="303"/>
      <c r="J23" s="213"/>
      <c r="K23" s="213"/>
      <c r="L23" s="213"/>
      <c r="W23" s="315">
        <f xml:space="preserve"> G16*(60-G17)/G19</f>
        <v>4.5</v>
      </c>
      <c r="X23" s="26" t="s">
        <v>119</v>
      </c>
      <c r="Y23" s="26"/>
    </row>
    <row r="24" spans="4:25" ht="15" customHeight="1" x14ac:dyDescent="0.2">
      <c r="D24" s="281"/>
      <c r="G24" s="222"/>
      <c r="W24" s="26"/>
      <c r="X24" s="26"/>
      <c r="Y24" s="26"/>
    </row>
    <row r="25" spans="4:25" ht="15" customHeight="1" x14ac:dyDescent="0.2">
      <c r="D25" s="281" t="s">
        <v>1249</v>
      </c>
      <c r="G25" s="224">
        <v>15</v>
      </c>
      <c r="H25" s="305" t="s">
        <v>1250</v>
      </c>
      <c r="I25" s="277" t="str">
        <f>IF(G15&lt;60,"20-00-30",IF(AND(G15&gt;=60,G15&lt;120),"20-00-20",IF(AND(G15&gt;=120,G15&lt;200),"20-00-15",IF(AND(G15&gt;=200,G15&lt;280),"20-00-10","Sulfato de Amônio"))))</f>
        <v>20-00-15</v>
      </c>
      <c r="W25" s="171">
        <v>80</v>
      </c>
      <c r="X25" s="26" t="s">
        <v>343</v>
      </c>
      <c r="Y25" s="26"/>
    </row>
    <row r="26" spans="4:25" ht="15" customHeight="1" x14ac:dyDescent="0.2">
      <c r="D26" s="281"/>
      <c r="G26" s="224">
        <f>(((W26/10000)*1000)*5)</f>
        <v>50</v>
      </c>
      <c r="H26" s="49" t="s">
        <v>1316</v>
      </c>
      <c r="I26" s="303"/>
      <c r="J26" s="271"/>
      <c r="K26" s="271"/>
      <c r="W26" s="171" t="str">
        <f>IF(G14&lt;10,"100",IF(AND(G14&gt;=10,G14&lt;20),"70",IF(AND(G14&gt;=20,G14&lt;100),"40",IF(AND(G14&gt;=100,G14&lt;200),"20",0))))</f>
        <v>100</v>
      </c>
      <c r="X26" s="26" t="s">
        <v>344</v>
      </c>
      <c r="Y26" s="26"/>
    </row>
    <row r="27" spans="4:25" ht="15" customHeight="1" x14ac:dyDescent="0.2">
      <c r="D27" s="281"/>
      <c r="G27" s="224">
        <v>5</v>
      </c>
      <c r="H27" s="49" t="s">
        <v>1317</v>
      </c>
      <c r="I27" s="208"/>
      <c r="J27" s="306"/>
      <c r="K27" s="27"/>
      <c r="L27" s="263"/>
      <c r="M27" s="27"/>
      <c r="O27" s="26"/>
      <c r="P27" s="26"/>
      <c r="Q27" s="26"/>
    </row>
    <row r="28" spans="4:25" ht="15" customHeight="1" x14ac:dyDescent="0.2">
      <c r="D28" s="487"/>
      <c r="G28" s="271"/>
      <c r="H28" s="297"/>
      <c r="I28" s="310"/>
    </row>
    <row r="29" spans="4:25" ht="15" customHeight="1" x14ac:dyDescent="0.2">
      <c r="D29" s="281" t="s">
        <v>342</v>
      </c>
      <c r="G29" s="224">
        <v>20</v>
      </c>
      <c r="H29" s="266" t="s">
        <v>1250</v>
      </c>
      <c r="I29" s="222" t="str">
        <f>I25</f>
        <v>20-00-15</v>
      </c>
      <c r="J29" s="308" t="s">
        <v>1204</v>
      </c>
    </row>
    <row r="30" spans="4:25" ht="15" customHeight="1" x14ac:dyDescent="0.2">
      <c r="G30" s="224">
        <v>20</v>
      </c>
      <c r="H30" s="266" t="s">
        <v>1250</v>
      </c>
      <c r="I30" s="222" t="str">
        <f>I25</f>
        <v>20-00-15</v>
      </c>
      <c r="J30" s="308" t="s">
        <v>1207</v>
      </c>
    </row>
    <row r="31" spans="4:25" ht="15" customHeight="1" x14ac:dyDescent="0.2">
      <c r="I31" s="308"/>
    </row>
    <row r="32" spans="4:25" ht="15" customHeight="1" x14ac:dyDescent="0.2">
      <c r="D32" s="169"/>
    </row>
    <row r="33" spans="4:9" ht="15" customHeight="1" x14ac:dyDescent="0.2"/>
    <row r="34" spans="4:9" ht="15" customHeight="1" x14ac:dyDescent="0.2"/>
    <row r="35" spans="4:9" ht="15" customHeight="1" x14ac:dyDescent="0.2"/>
    <row r="36" spans="4:9" ht="15" customHeight="1" x14ac:dyDescent="0.2"/>
    <row r="37" spans="4:9" s="60" customFormat="1" ht="15" customHeight="1" x14ac:dyDescent="0.2">
      <c r="D37" s="226" t="s">
        <v>891</v>
      </c>
      <c r="E37" s="771">
        <f ca="1">TODAY()</f>
        <v>45064</v>
      </c>
      <c r="F37" s="772"/>
      <c r="G37" s="60" t="s">
        <v>373</v>
      </c>
    </row>
    <row r="38" spans="4:9" s="60" customFormat="1" ht="15" customHeight="1" x14ac:dyDescent="0.2">
      <c r="D38" s="267"/>
    </row>
    <row r="39" spans="4:9" s="60" customFormat="1" ht="15" hidden="1" customHeight="1" x14ac:dyDescent="0.2">
      <c r="D39" s="267"/>
    </row>
    <row r="40" spans="4:9" s="60" customFormat="1" ht="15" hidden="1" customHeight="1" x14ac:dyDescent="0.2">
      <c r="D40" s="267"/>
    </row>
    <row r="41" spans="4:9" s="60" customFormat="1" ht="15" hidden="1" customHeight="1" x14ac:dyDescent="0.2">
      <c r="D41" s="267"/>
    </row>
    <row r="42" spans="4:9" s="60" customFormat="1" ht="15" hidden="1" customHeight="1" x14ac:dyDescent="0.2">
      <c r="D42" s="267"/>
    </row>
    <row r="43" spans="4:9" s="60" customFormat="1" ht="15" hidden="1" customHeight="1" x14ac:dyDescent="0.2">
      <c r="D43" s="267"/>
    </row>
    <row r="44" spans="4:9" s="60" customFormat="1" ht="15" hidden="1" customHeight="1" x14ac:dyDescent="0.2">
      <c r="D44" s="267"/>
    </row>
    <row r="45" spans="4:9" s="60" customFormat="1" ht="15" hidden="1" customHeight="1" x14ac:dyDescent="0.2">
      <c r="D45" s="267"/>
      <c r="I45" s="266"/>
    </row>
  </sheetData>
  <sheetProtection algorithmName="SHA-512" hashValue="Zv+nm8GxGGWjEIEHxnOHNqaawE5pT1zyr4G/5y7rV0w1t7zvDekxJ8xr0hlqXR8a+fpVBzZEQ0nU1Dy6MYYOQQ==" saltValue="LBfhGKflnIV9POJHhuWIOA==" spinCount="100000" sheet="1" objects="1" scenarios="1" selectLockedCells="1"/>
  <mergeCells count="3">
    <mergeCell ref="E8:M8"/>
    <mergeCell ref="E37:F37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rowBreaks count="1" manualBreakCount="1">
    <brk id="42" min="2" max="11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>
    <pageSetUpPr fitToPage="1"/>
  </sheetPr>
  <dimension ref="A1:X41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1889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E7" s="235"/>
      <c r="F7" s="235"/>
      <c r="G7" s="235"/>
      <c r="H7" s="235"/>
      <c r="I7" s="235"/>
      <c r="J7" s="235"/>
      <c r="K7" s="235"/>
    </row>
    <row r="8" spans="1:16" ht="15" customHeight="1" x14ac:dyDescent="0.2">
      <c r="D8" s="31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B9" s="291"/>
      <c r="C9" s="291"/>
      <c r="D9" s="291"/>
      <c r="E9" s="291"/>
      <c r="F9" s="291"/>
      <c r="G9" s="291"/>
      <c r="H9" s="291"/>
    </row>
    <row r="10" spans="1:16" ht="15" customHeight="1" x14ac:dyDescent="0.2"/>
    <row r="11" spans="1:16" ht="15" customHeight="1" x14ac:dyDescent="0.2">
      <c r="D11" s="266" t="s">
        <v>1208</v>
      </c>
      <c r="F11" s="273" t="s">
        <v>2285</v>
      </c>
      <c r="H11" s="318"/>
      <c r="I11" s="27"/>
      <c r="J11" s="299"/>
      <c r="K11" s="27"/>
    </row>
    <row r="12" spans="1:16" ht="15" customHeight="1" x14ac:dyDescent="0.2">
      <c r="I12" s="27"/>
      <c r="J12" s="299"/>
      <c r="K12" s="27"/>
    </row>
    <row r="13" spans="1:16" ht="15" customHeight="1" x14ac:dyDescent="0.2">
      <c r="D13" s="266" t="s">
        <v>338</v>
      </c>
      <c r="G13" s="237">
        <v>5</v>
      </c>
      <c r="H13" s="49" t="s">
        <v>1938</v>
      </c>
    </row>
    <row r="14" spans="1:16" ht="15" customHeight="1" x14ac:dyDescent="0.2">
      <c r="G14" s="237">
        <v>90</v>
      </c>
      <c r="H14" s="49" t="s">
        <v>1933</v>
      </c>
    </row>
    <row r="15" spans="1:16" ht="15" customHeight="1" x14ac:dyDescent="0.2">
      <c r="G15" s="7">
        <v>8</v>
      </c>
      <c r="H15" s="49" t="s">
        <v>1934</v>
      </c>
    </row>
    <row r="16" spans="1:16" ht="15" customHeight="1" x14ac:dyDescent="0.2">
      <c r="G16" s="10">
        <v>30</v>
      </c>
      <c r="H16" s="49" t="s">
        <v>1929</v>
      </c>
    </row>
    <row r="17" spans="3:24" ht="15" customHeight="1" x14ac:dyDescent="0.2">
      <c r="G17" s="265"/>
      <c r="H17" s="49"/>
    </row>
    <row r="18" spans="3:24" ht="15" customHeight="1" x14ac:dyDescent="0.2">
      <c r="D18" s="266" t="s">
        <v>340</v>
      </c>
      <c r="G18" s="237">
        <v>90</v>
      </c>
      <c r="H18" s="49" t="s">
        <v>341</v>
      </c>
    </row>
    <row r="19" spans="3:24" ht="15" customHeight="1" x14ac:dyDescent="0.2"/>
    <row r="20" spans="3:24" ht="15" customHeight="1" x14ac:dyDescent="0.25">
      <c r="C20" s="213"/>
      <c r="D20" s="291" t="s">
        <v>371</v>
      </c>
      <c r="E20" s="291"/>
      <c r="F20" s="291"/>
      <c r="G20" s="291"/>
      <c r="H20" s="291"/>
      <c r="I20" s="27"/>
      <c r="W20" s="26"/>
      <c r="X20" s="26"/>
    </row>
    <row r="21" spans="3:24" s="213" customFormat="1" ht="15" customHeight="1" x14ac:dyDescent="0.2">
      <c r="C21" s="266"/>
      <c r="D21" s="305" t="s">
        <v>348</v>
      </c>
      <c r="G21" s="286">
        <f>IF(W21&gt;0,W21,0)</f>
        <v>3.5555555555555554</v>
      </c>
      <c r="H21" s="300" t="s">
        <v>349</v>
      </c>
      <c r="I21" s="303"/>
      <c r="W21" s="315">
        <f xml:space="preserve"> G15*(70-G16)/G18</f>
        <v>3.5555555555555554</v>
      </c>
      <c r="X21" s="26" t="s">
        <v>119</v>
      </c>
    </row>
    <row r="22" spans="3:24" ht="15" customHeight="1" x14ac:dyDescent="0.2">
      <c r="G22" s="222"/>
      <c r="W22" s="27"/>
      <c r="X22" s="27"/>
    </row>
    <row r="23" spans="3:24" ht="15" customHeight="1" x14ac:dyDescent="0.2">
      <c r="D23" s="170" t="s">
        <v>1701</v>
      </c>
      <c r="G23" s="224">
        <v>8</v>
      </c>
      <c r="H23" s="305" t="s">
        <v>805</v>
      </c>
      <c r="I23" s="221"/>
    </row>
    <row r="24" spans="3:24" ht="15" customHeight="1" x14ac:dyDescent="0.2">
      <c r="G24" s="224" t="str">
        <f>IF(G13&lt;20,"230",IF(AND(G13&gt;=20,G13&lt;60),"180",IF(AND(G13&gt;=60,G13&lt;100),"130",IF(AND(G13&gt;=100,G13&lt;150),"80",0))))</f>
        <v>230</v>
      </c>
      <c r="H24" s="213" t="s">
        <v>806</v>
      </c>
      <c r="I24" s="303"/>
      <c r="J24" s="271"/>
      <c r="K24" s="271"/>
    </row>
    <row r="25" spans="3:24" ht="15" customHeight="1" x14ac:dyDescent="0.2">
      <c r="G25" s="224">
        <v>10</v>
      </c>
      <c r="H25" s="213" t="s">
        <v>1053</v>
      </c>
      <c r="I25" s="208"/>
      <c r="J25" s="306"/>
      <c r="K25" s="27"/>
      <c r="L25" s="263"/>
      <c r="M25" s="27"/>
      <c r="N25" s="208"/>
    </row>
    <row r="26" spans="3:24" ht="15" customHeight="1" x14ac:dyDescent="0.2">
      <c r="F26" s="169"/>
      <c r="N26" s="263"/>
      <c r="O26" s="27"/>
    </row>
    <row r="27" spans="3:24" ht="15" customHeight="1" x14ac:dyDescent="0.2">
      <c r="D27" s="281" t="s">
        <v>342</v>
      </c>
      <c r="G27" s="224">
        <v>20</v>
      </c>
      <c r="H27" s="266" t="s">
        <v>1296</v>
      </c>
      <c r="I27" s="222" t="str">
        <f>IF(G14&lt;80,"20-00-30",IF(AND(G14&gt;=80,G14&lt;150),"20-00-20",IF(AND(G14&gt;=150,G14&lt;200),"20-00-15",IF(AND(G14&gt;=200,G14&lt;280),"20- 00-10","Sulf. Amônio"))))</f>
        <v>20-00-20</v>
      </c>
      <c r="J27" s="308" t="s">
        <v>1206</v>
      </c>
      <c r="N27" s="263"/>
    </row>
    <row r="28" spans="3:24" ht="15" customHeight="1" x14ac:dyDescent="0.2">
      <c r="G28" s="224">
        <v>30</v>
      </c>
      <c r="H28" s="266" t="s">
        <v>1297</v>
      </c>
      <c r="I28" s="222" t="str">
        <f>I27</f>
        <v>20-00-20</v>
      </c>
      <c r="J28" s="308" t="s">
        <v>820</v>
      </c>
      <c r="N28" s="263"/>
    </row>
    <row r="29" spans="3:24" ht="15" customHeight="1" x14ac:dyDescent="0.2">
      <c r="D29" s="27"/>
      <c r="E29" s="27"/>
      <c r="F29" s="224"/>
      <c r="H29" s="221"/>
      <c r="I29" s="308"/>
      <c r="L29" s="27"/>
      <c r="M29" s="27"/>
      <c r="N29" s="27"/>
    </row>
    <row r="30" spans="3:24" ht="15" customHeight="1" x14ac:dyDescent="0.2">
      <c r="D30" s="169"/>
    </row>
    <row r="31" spans="3:24" ht="15" customHeight="1" x14ac:dyDescent="0.2"/>
    <row r="32" spans="3:24" ht="15" customHeight="1" x14ac:dyDescent="0.2"/>
    <row r="33" spans="3:15" ht="15" customHeight="1" x14ac:dyDescent="0.2"/>
    <row r="34" spans="3:15" ht="15" customHeight="1" x14ac:dyDescent="0.2"/>
    <row r="35" spans="3:15" s="60" customFormat="1" ht="15" customHeight="1" x14ac:dyDescent="0.2"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</row>
    <row r="36" spans="3:15" s="60" customFormat="1" ht="15" customHeight="1" x14ac:dyDescent="0.2"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3:15" s="60" customFormat="1" ht="15" customHeight="1" x14ac:dyDescent="0.2"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</row>
    <row r="38" spans="3:15" s="60" customFormat="1" ht="15" customHeight="1" x14ac:dyDescent="0.2">
      <c r="C38" s="266"/>
      <c r="D38" s="266" t="s">
        <v>556</v>
      </c>
      <c r="E38" s="771">
        <f ca="1">TODAY()</f>
        <v>45064</v>
      </c>
      <c r="F38" s="772"/>
      <c r="G38" s="266" t="s">
        <v>555</v>
      </c>
      <c r="L38" s="266"/>
      <c r="M38" s="266"/>
      <c r="N38" s="266"/>
      <c r="O38" s="266"/>
    </row>
    <row r="39" spans="3:15" s="60" customFormat="1" ht="15" customHeight="1" x14ac:dyDescent="0.2">
      <c r="D39" s="267"/>
    </row>
    <row r="40" spans="3:15" s="60" customFormat="1" ht="15" hidden="1" customHeight="1" x14ac:dyDescent="0.2">
      <c r="D40" s="267"/>
    </row>
    <row r="41" spans="3:15" s="60" customFormat="1" ht="15" hidden="1" customHeight="1" x14ac:dyDescent="0.2">
      <c r="D41" s="267"/>
      <c r="I41" s="266"/>
    </row>
  </sheetData>
  <sheetProtection algorithmName="SHA-512" hashValue="w+XGn4lgmTJBS5aGben49FF11Ea6b81CpFyu6sp7iYJPuLPlZSJdP8mS93RkZ/TIvNi6mnHsiBOLs6LyvY9dlQ==" saltValue="95Hzvr3KOg1hv2Fursgqqw==" spinCount="100000" sheet="1" objects="1" scenarios="1" selectLockedCells="1"/>
  <mergeCells count="3">
    <mergeCell ref="E8:M8"/>
    <mergeCell ref="E38:F3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>
    <oddHeader>&amp;C&amp;G</oddHeader>
  </headerFooter>
  <rowBreaks count="1" manualBreakCount="1">
    <brk id="39" min="2" max="11" man="1"/>
  </rowBreaks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pageSetUpPr fitToPage="1"/>
  </sheetPr>
  <dimension ref="A1:P22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F6" s="699" t="s">
        <v>1891</v>
      </c>
      <c r="G6" s="699"/>
      <c r="H6" s="699"/>
      <c r="I6" s="699"/>
      <c r="J6" s="699"/>
    </row>
    <row r="7" spans="1:16" ht="15" customHeight="1" thickBot="1" x14ac:dyDescent="0.25"/>
    <row r="8" spans="1:16" ht="24.95" customHeight="1" thickTop="1" thickBot="1" x14ac:dyDescent="0.25">
      <c r="D8" s="60"/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s="34" customFormat="1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s="34" customFormat="1" ht="24.95" customHeight="1" thickTop="1" thickBot="1" x14ac:dyDescent="0.25">
      <c r="F10" s="711" t="str">
        <f>HYPERLINK("#"&amp;"'Ameixa1a2'!h1","Formação - 1 a 2 anos")</f>
        <v>Formação - 1 a 2 anos</v>
      </c>
      <c r="G10" s="711"/>
      <c r="H10" s="711"/>
      <c r="I10" s="711"/>
      <c r="J10" s="711"/>
    </row>
    <row r="11" spans="1:16" s="34" customFormat="1" ht="24.95" customHeight="1" thickTop="1" thickBot="1" x14ac:dyDescent="0.25">
      <c r="F11" s="711" t="str">
        <f>HYPERLINK("#"&amp;"'Ameixa3a4'!h1","Formação - 3 a 4 anos")</f>
        <v>Formação - 3 a 4 anos</v>
      </c>
      <c r="G11" s="711"/>
      <c r="H11" s="711"/>
      <c r="I11" s="711"/>
      <c r="J11" s="711"/>
    </row>
    <row r="12" spans="1:16" s="34" customFormat="1" ht="24.95" customHeight="1" thickTop="1" thickBot="1" x14ac:dyDescent="0.25">
      <c r="F12" s="711" t="str">
        <f>HYPERLINK("#"&amp;"'AmeixaProd'!h1","Produção")</f>
        <v>Produção</v>
      </c>
      <c r="G12" s="711"/>
      <c r="H12" s="711"/>
      <c r="I12" s="711"/>
      <c r="J12" s="711"/>
    </row>
    <row r="13" spans="1:16" s="34" customFormat="1" ht="15" customHeight="1" thickTop="1" x14ac:dyDescent="0.2"/>
    <row r="14" spans="1:16" ht="15" hidden="1" customHeight="1" x14ac:dyDescent="0.2"/>
    <row r="15" spans="1:16" ht="15" hidden="1" customHeight="1" x14ac:dyDescent="0.2"/>
    <row r="16" spans="1:16" ht="15" hidden="1" customHeight="1" x14ac:dyDescent="0.2"/>
    <row r="17" ht="15" hidden="1" customHeight="1" x14ac:dyDescent="0.2"/>
    <row r="18" ht="15" hidden="1" customHeight="1" x14ac:dyDescent="0.2"/>
    <row r="19" ht="15" hidden="1" customHeight="1" x14ac:dyDescent="0.2"/>
    <row r="20" ht="15" hidden="1" customHeight="1" x14ac:dyDescent="0.2"/>
    <row r="21" ht="15" hidden="1" customHeight="1" x14ac:dyDescent="0.2"/>
    <row r="22" ht="15" hidden="1" customHeight="1" x14ac:dyDescent="0.2"/>
  </sheetData>
  <sheetProtection algorithmName="SHA-512" hashValue="p77udPXUn/+Yc+r7Q2eeYftwVCmR1pg0KS3KZgMvq81kKNkN6kGI096o/6SRRxfz5SRcPVYzXm9TNOknF8Xvow==" saltValue="qKR3rKdMXmP20AixKqJpLg==" spinCount="100000" sheet="1" objects="1" scenarios="1"/>
  <mergeCells count="6">
    <mergeCell ref="F6:J6"/>
    <mergeCell ref="F12:J12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>
    <pageSetUpPr fitToPage="1"/>
  </sheetPr>
  <dimension ref="A1:AB5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2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8" ht="24.95" customHeight="1" x14ac:dyDescent="0.2">
      <c r="C6" s="699" t="s">
        <v>1948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8" ht="15" customHeight="1" x14ac:dyDescent="0.2">
      <c r="G7" s="235"/>
      <c r="H7" s="235"/>
      <c r="I7" s="235"/>
      <c r="J7" s="235"/>
      <c r="K7" s="235"/>
      <c r="L7" s="235"/>
    </row>
    <row r="8" spans="1:28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8" s="164" customFormat="1" ht="15" customHeight="1" x14ac:dyDescent="0.25">
      <c r="B9" s="486"/>
      <c r="C9" s="486"/>
      <c r="D9" s="486"/>
      <c r="E9" s="486"/>
      <c r="F9" s="486"/>
      <c r="G9" s="486"/>
      <c r="H9" s="486"/>
      <c r="I9" s="486"/>
    </row>
    <row r="10" spans="1:28" ht="15" customHeight="1" x14ac:dyDescent="0.2"/>
    <row r="11" spans="1:28" ht="15" customHeight="1" x14ac:dyDescent="0.25">
      <c r="D11" s="164" t="s">
        <v>1858</v>
      </c>
      <c r="E11" s="34"/>
      <c r="F11" s="34"/>
    </row>
    <row r="12" spans="1:28" ht="15" customHeight="1" x14ac:dyDescent="0.2">
      <c r="E12" s="49" t="s">
        <v>1944</v>
      </c>
    </row>
    <row r="13" spans="1:28" ht="15" customHeight="1" x14ac:dyDescent="0.2">
      <c r="E13" s="49" t="s">
        <v>1942</v>
      </c>
    </row>
    <row r="14" spans="1:28" ht="15" customHeight="1" x14ac:dyDescent="0.2">
      <c r="E14" s="49" t="s">
        <v>1943</v>
      </c>
    </row>
    <row r="15" spans="1:28" ht="15" customHeight="1" x14ac:dyDescent="0.2">
      <c r="X15" s="26"/>
      <c r="Y15" s="26"/>
      <c r="Z15" s="26"/>
      <c r="AA15" s="26"/>
      <c r="AB15" s="26"/>
    </row>
    <row r="16" spans="1:28" s="60" customFormat="1" ht="15" customHeight="1" x14ac:dyDescent="0.25">
      <c r="D16" s="164" t="s">
        <v>1940</v>
      </c>
      <c r="E16" s="34"/>
      <c r="F16" s="266"/>
      <c r="G16" s="266"/>
      <c r="H16" s="266"/>
      <c r="I16" s="266"/>
      <c r="J16" s="266"/>
      <c r="K16" s="266"/>
      <c r="L16" s="266"/>
      <c r="M16" s="266"/>
      <c r="X16" s="292"/>
      <c r="Y16" s="292"/>
      <c r="Z16" s="292"/>
      <c r="AA16" s="292"/>
      <c r="AB16" s="292"/>
    </row>
    <row r="17" spans="4:28" s="60" customFormat="1" ht="15" customHeight="1" x14ac:dyDescent="0.2">
      <c r="D17" s="298" t="s">
        <v>1703</v>
      </c>
      <c r="G17" s="237">
        <v>8</v>
      </c>
      <c r="H17" s="49" t="s">
        <v>1873</v>
      </c>
      <c r="I17" s="272"/>
      <c r="J17" s="266"/>
      <c r="K17" s="266"/>
      <c r="L17" s="266"/>
      <c r="M17" s="266"/>
      <c r="X17" s="292"/>
      <c r="Y17" s="292"/>
      <c r="Z17" s="292"/>
      <c r="AA17" s="292"/>
      <c r="AB17" s="292"/>
    </row>
    <row r="18" spans="4:28" s="60" customFormat="1" ht="15" customHeight="1" x14ac:dyDescent="0.2">
      <c r="E18" s="266"/>
      <c r="G18" s="237">
        <v>90</v>
      </c>
      <c r="H18" s="49" t="s">
        <v>1874</v>
      </c>
      <c r="I18" s="266"/>
      <c r="J18" s="266"/>
      <c r="K18" s="266"/>
      <c r="L18" s="266"/>
      <c r="M18" s="266"/>
      <c r="X18" s="292"/>
      <c r="Y18" s="292"/>
      <c r="Z18" s="292"/>
      <c r="AA18" s="292"/>
      <c r="AB18" s="292"/>
    </row>
    <row r="19" spans="4:28" s="60" customFormat="1" ht="15" customHeight="1" x14ac:dyDescent="0.2">
      <c r="D19" s="266"/>
      <c r="E19" s="266"/>
      <c r="F19" s="266"/>
      <c r="G19" s="266"/>
      <c r="H19" s="49"/>
      <c r="I19" s="266"/>
      <c r="J19" s="266"/>
      <c r="K19" s="266"/>
      <c r="L19" s="266"/>
      <c r="M19" s="266"/>
      <c r="X19" s="292"/>
      <c r="Y19" s="292"/>
      <c r="Z19" s="292"/>
      <c r="AA19" s="292"/>
      <c r="AB19" s="292"/>
    </row>
    <row r="20" spans="4:28" s="60" customFormat="1" ht="15" customHeight="1" x14ac:dyDescent="0.2">
      <c r="F20" s="225" t="s">
        <v>637</v>
      </c>
      <c r="G20" s="224">
        <f>Y21*5</f>
        <v>500</v>
      </c>
      <c r="H20" s="273" t="s">
        <v>558</v>
      </c>
      <c r="I20" s="169" t="s">
        <v>1140</v>
      </c>
      <c r="J20" s="169"/>
      <c r="K20" s="266"/>
      <c r="X20" s="292"/>
      <c r="AA20" s="292"/>
      <c r="AB20" s="292"/>
    </row>
    <row r="21" spans="4:28" s="60" customFormat="1" ht="15" customHeight="1" x14ac:dyDescent="0.2">
      <c r="F21" s="226" t="s">
        <v>1139</v>
      </c>
      <c r="G21" s="276">
        <v>200</v>
      </c>
      <c r="H21" s="273" t="s">
        <v>558</v>
      </c>
      <c r="I21" s="277" t="str">
        <f>IF(G18&lt;60,"20-00-30",IF(AND(G18&gt;=60,G18&lt;120),"20-00-20",IF(AND(G18&gt;=120,G18&lt;200),"20-00-15",IF(AND(G18&gt;=200,G18&lt;280),"20-00-10","Sulfato de Amônio"))))</f>
        <v>20-00-20</v>
      </c>
      <c r="J21" s="266"/>
      <c r="K21" s="266"/>
      <c r="X21" s="292"/>
      <c r="Y21" s="325" t="str">
        <f>IF(G17&lt;10,"100",IF(AND(G17&gt;=10,G17&lt;20),"80",IF(AND(G17&gt;=20,G17&lt;40),"40",IF(AND(G17&gt;=40,G17&lt;60),"20",0))))</f>
        <v>100</v>
      </c>
      <c r="Z21" s="26" t="s">
        <v>653</v>
      </c>
      <c r="AA21" s="292"/>
      <c r="AB21" s="292"/>
    </row>
    <row r="22" spans="4:28" s="60" customFormat="1" ht="15" customHeight="1" x14ac:dyDescent="0.2">
      <c r="D22" s="266"/>
      <c r="E22" s="266"/>
      <c r="F22" s="266"/>
      <c r="G22" s="266"/>
      <c r="H22" s="49"/>
      <c r="I22" s="279"/>
      <c r="J22" s="266"/>
      <c r="K22" s="266"/>
      <c r="X22" s="292"/>
      <c r="Y22" s="26"/>
      <c r="Z22" s="26"/>
      <c r="AA22" s="292"/>
      <c r="AB22" s="292"/>
    </row>
    <row r="23" spans="4:28" ht="15" customHeight="1" x14ac:dyDescent="0.25">
      <c r="D23" s="282" t="s">
        <v>1941</v>
      </c>
      <c r="E23" s="281"/>
      <c r="F23" s="281"/>
      <c r="G23" s="281"/>
      <c r="H23" s="273"/>
      <c r="I23" s="283"/>
      <c r="J23" s="283"/>
      <c r="K23" s="283"/>
      <c r="X23" s="26"/>
      <c r="Y23" s="273"/>
      <c r="Z23" s="273"/>
      <c r="AA23" s="26"/>
      <c r="AB23" s="26"/>
    </row>
    <row r="24" spans="4:28" ht="15" customHeight="1" x14ac:dyDescent="0.2">
      <c r="D24" s="298" t="s">
        <v>1703</v>
      </c>
      <c r="G24" s="237">
        <v>20</v>
      </c>
      <c r="H24" s="273" t="s">
        <v>1945</v>
      </c>
      <c r="I24" s="283"/>
      <c r="J24" s="283"/>
      <c r="K24" s="263"/>
      <c r="X24" s="26"/>
      <c r="AA24" s="26"/>
      <c r="AB24" s="26"/>
    </row>
    <row r="25" spans="4:28" ht="15" customHeight="1" x14ac:dyDescent="0.3">
      <c r="E25" s="281"/>
      <c r="G25" s="5">
        <v>7</v>
      </c>
      <c r="H25" s="273" t="s">
        <v>1946</v>
      </c>
      <c r="I25" s="272"/>
      <c r="J25" s="272"/>
      <c r="K25" s="272"/>
      <c r="X25" s="26"/>
      <c r="Y25" s="315"/>
      <c r="Z25" s="26"/>
      <c r="AA25" s="26"/>
      <c r="AB25" s="26"/>
    </row>
    <row r="26" spans="4:28" ht="15" customHeight="1" x14ac:dyDescent="0.2">
      <c r="E26" s="281"/>
      <c r="G26" s="208"/>
      <c r="H26" s="273"/>
      <c r="I26" s="272"/>
      <c r="J26" s="272"/>
      <c r="K26" s="272"/>
      <c r="X26" s="26"/>
      <c r="Y26" s="315"/>
      <c r="Z26" s="26"/>
      <c r="AA26" s="26"/>
      <c r="AB26" s="26"/>
    </row>
    <row r="27" spans="4:28" ht="15" customHeight="1" x14ac:dyDescent="0.2">
      <c r="D27" s="273" t="s">
        <v>340</v>
      </c>
      <c r="E27" s="281"/>
      <c r="G27" s="237">
        <v>80</v>
      </c>
      <c r="H27" s="273" t="s">
        <v>341</v>
      </c>
      <c r="I27" s="283"/>
      <c r="J27" s="283"/>
      <c r="K27" s="263"/>
      <c r="L27" s="283"/>
      <c r="M27" s="283"/>
      <c r="X27" s="26"/>
      <c r="Y27" s="315">
        <f xml:space="preserve"> G25*(60-G24)/G27</f>
        <v>3.5</v>
      </c>
      <c r="Z27" s="26" t="s">
        <v>349</v>
      </c>
      <c r="AA27" s="26"/>
      <c r="AB27" s="26"/>
    </row>
    <row r="28" spans="4:28" ht="15" customHeight="1" x14ac:dyDescent="0.2">
      <c r="D28" s="281"/>
      <c r="E28" s="263"/>
      <c r="G28" s="283"/>
      <c r="H28" s="273"/>
      <c r="I28" s="283"/>
      <c r="J28" s="283"/>
      <c r="K28" s="263"/>
      <c r="L28" s="283"/>
      <c r="M28" s="283"/>
      <c r="X28" s="26"/>
      <c r="Y28" s="26"/>
      <c r="Z28" s="26"/>
      <c r="AA28" s="26"/>
      <c r="AB28" s="26"/>
    </row>
    <row r="29" spans="4:28" ht="15" customHeight="1" x14ac:dyDescent="0.2">
      <c r="D29" s="292" t="s">
        <v>1708</v>
      </c>
      <c r="G29" s="220">
        <f>IF(Y27&gt;0,Y27,0)</f>
        <v>3.5</v>
      </c>
      <c r="H29" s="280" t="s">
        <v>1878</v>
      </c>
      <c r="I29" s="281"/>
      <c r="J29" s="281"/>
      <c r="K29" s="281"/>
      <c r="L29" s="281"/>
      <c r="M29" s="281"/>
      <c r="X29" s="26"/>
      <c r="Y29" s="26"/>
      <c r="Z29" s="26"/>
      <c r="AA29" s="26"/>
      <c r="AB29" s="26"/>
    </row>
    <row r="30" spans="4:28" ht="15" customHeight="1" x14ac:dyDescent="0.2">
      <c r="D30" s="275"/>
      <c r="E30" s="220"/>
      <c r="F30" s="280"/>
      <c r="G30" s="281"/>
      <c r="H30" s="281"/>
      <c r="I30" s="281"/>
      <c r="J30" s="281"/>
      <c r="K30" s="281"/>
      <c r="L30" s="281"/>
      <c r="M30" s="281"/>
    </row>
    <row r="31" spans="4:28" ht="15" customHeight="1" x14ac:dyDescent="0.2">
      <c r="D31" s="169"/>
      <c r="H31" s="272"/>
    </row>
    <row r="32" spans="4:28" ht="15" customHeight="1" x14ac:dyDescent="0.2">
      <c r="D32" s="275"/>
      <c r="E32" s="224"/>
      <c r="F32" s="280"/>
    </row>
    <row r="33" spans="2:13" ht="15" customHeight="1" x14ac:dyDescent="0.2">
      <c r="E33" s="213"/>
      <c r="F33" s="213"/>
      <c r="G33" s="213"/>
      <c r="H33" s="272"/>
      <c r="I33" s="213"/>
      <c r="J33" s="213"/>
      <c r="K33" s="213"/>
      <c r="L33" s="213"/>
      <c r="M33" s="213"/>
    </row>
    <row r="34" spans="2:13" ht="15" customHeight="1" x14ac:dyDescent="0.2">
      <c r="D34" s="275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2:13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281"/>
    </row>
    <row r="36" spans="2:13" ht="15" customHeight="1" x14ac:dyDescent="0.2">
      <c r="D36" s="275"/>
      <c r="E36" s="281"/>
      <c r="F36" s="281"/>
      <c r="G36" s="281"/>
      <c r="H36" s="281"/>
      <c r="I36" s="281"/>
      <c r="J36" s="281"/>
      <c r="K36" s="281"/>
      <c r="L36" s="281"/>
      <c r="M36" s="281"/>
    </row>
    <row r="37" spans="2:13" ht="15" customHeight="1" x14ac:dyDescent="0.2">
      <c r="D37" s="774"/>
      <c r="E37" s="774"/>
      <c r="F37" s="774"/>
      <c r="G37" s="774"/>
      <c r="H37" s="774"/>
      <c r="I37" s="774"/>
      <c r="J37" s="774"/>
      <c r="K37" s="774"/>
      <c r="L37" s="774"/>
      <c r="M37" s="281"/>
    </row>
    <row r="38" spans="2:13" ht="15" customHeight="1" x14ac:dyDescent="0.2">
      <c r="D38" s="267"/>
      <c r="E38" s="60"/>
      <c r="F38" s="60"/>
      <c r="G38" s="60"/>
      <c r="H38" s="60"/>
      <c r="I38" s="60"/>
      <c r="J38" s="60"/>
      <c r="K38" s="60"/>
      <c r="L38" s="60"/>
      <c r="M38" s="60"/>
    </row>
    <row r="39" spans="2:13" s="60" customFormat="1" ht="15" customHeight="1" x14ac:dyDescent="0.2">
      <c r="D39" s="226" t="s">
        <v>891</v>
      </c>
      <c r="E39" s="771">
        <f ca="1">TODAY()</f>
        <v>45064</v>
      </c>
      <c r="F39" s="772"/>
      <c r="G39" s="60" t="s">
        <v>373</v>
      </c>
    </row>
    <row r="40" spans="2:13" s="60" customFormat="1" ht="15" customHeight="1" x14ac:dyDescent="0.2">
      <c r="D40" s="267"/>
    </row>
    <row r="41" spans="2:13" s="60" customFormat="1" ht="15" hidden="1" customHeight="1" x14ac:dyDescent="0.2">
      <c r="D41" s="267"/>
    </row>
    <row r="42" spans="2:13" s="60" customFormat="1" ht="15" hidden="1" customHeight="1" x14ac:dyDescent="0.2">
      <c r="D42" s="267"/>
    </row>
    <row r="43" spans="2:13" s="60" customFormat="1" ht="15" hidden="1" customHeight="1" x14ac:dyDescent="0.2">
      <c r="D43" s="267"/>
    </row>
    <row r="44" spans="2:13" s="60" customFormat="1" ht="15" hidden="1" customHeight="1" x14ac:dyDescent="0.2">
      <c r="D44" s="267"/>
    </row>
    <row r="45" spans="2:13" s="60" customFormat="1" ht="15" hidden="1" customHeight="1" x14ac:dyDescent="0.2">
      <c r="D45" s="267"/>
      <c r="I45" s="266"/>
    </row>
    <row r="46" spans="2:13" ht="15" hidden="1" customHeight="1" x14ac:dyDescent="0.2">
      <c r="B46" s="60"/>
      <c r="C46" s="267"/>
      <c r="D46" s="267"/>
      <c r="E46" s="60"/>
      <c r="F46" s="60"/>
      <c r="G46" s="60"/>
      <c r="H46" s="60"/>
      <c r="I46" s="60"/>
    </row>
    <row r="47" spans="2:13" ht="15" hidden="1" customHeight="1" x14ac:dyDescent="0.2">
      <c r="B47" s="60"/>
      <c r="C47" s="267"/>
      <c r="D47" s="267"/>
      <c r="E47" s="60"/>
      <c r="F47" s="60"/>
      <c r="G47" s="60"/>
      <c r="H47" s="60"/>
      <c r="I47" s="60"/>
    </row>
    <row r="48" spans="2:13" ht="15" hidden="1" customHeight="1" x14ac:dyDescent="0.2">
      <c r="B48" s="60"/>
      <c r="C48" s="267"/>
      <c r="D48" s="267"/>
      <c r="E48" s="60"/>
      <c r="F48" s="60"/>
      <c r="G48" s="60"/>
      <c r="H48" s="60"/>
      <c r="I48" s="60"/>
    </row>
    <row r="49" spans="2:9" ht="15" hidden="1" customHeight="1" x14ac:dyDescent="0.2">
      <c r="B49" s="60"/>
      <c r="C49" s="267"/>
      <c r="D49" s="267"/>
      <c r="E49" s="60"/>
      <c r="F49" s="60"/>
      <c r="G49" s="60"/>
      <c r="H49" s="60"/>
      <c r="I49" s="60"/>
    </row>
    <row r="50" spans="2:9" ht="15" hidden="1" customHeight="1" x14ac:dyDescent="0.2">
      <c r="B50" s="60"/>
      <c r="F50" s="60"/>
      <c r="G50" s="60"/>
      <c r="H50" s="60"/>
      <c r="I50" s="60"/>
    </row>
    <row r="51" spans="2:9" ht="15" hidden="1" customHeight="1" x14ac:dyDescent="0.2"/>
    <row r="52" spans="2:9" ht="15" hidden="1" customHeight="1" x14ac:dyDescent="0.2"/>
    <row r="53" spans="2:9" ht="15" hidden="1" customHeight="1" x14ac:dyDescent="0.2"/>
  </sheetData>
  <sheetProtection algorithmName="SHA-512" hashValue="v2zb9Yrs5H08Jb/SwpaXqpbE8oG9mkcG7taEkLiUobcfmm7bcSsgxQC/uHO73R+v1u+R5N6zOoblZkU6y2huKw==" saltValue="nw4vWcKNo2zbZHJMcHaHqQ==" spinCount="100000" sheet="1" objects="1" scenarios="1" selectLockedCells="1"/>
  <mergeCells count="4">
    <mergeCell ref="E39:F39"/>
    <mergeCell ref="D37:L37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360" verticalDpi="36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>
    <pageSetUpPr fitToPage="1"/>
  </sheetPr>
  <dimension ref="A1:AA54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2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7" ht="24.95" customHeight="1" x14ac:dyDescent="0.2">
      <c r="C6" s="699" t="s">
        <v>1949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7" ht="15" customHeight="1" x14ac:dyDescent="0.2">
      <c r="G7" s="235"/>
      <c r="H7" s="235"/>
      <c r="I7" s="235"/>
      <c r="J7" s="235"/>
      <c r="K7" s="235"/>
      <c r="L7" s="235"/>
    </row>
    <row r="8" spans="1:27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7" s="164" customFormat="1" ht="15" customHeight="1" x14ac:dyDescent="0.25">
      <c r="B9" s="486"/>
      <c r="C9" s="486"/>
      <c r="D9" s="486"/>
      <c r="E9" s="486"/>
      <c r="F9" s="486"/>
      <c r="G9" s="486"/>
      <c r="H9" s="486"/>
      <c r="I9" s="486"/>
    </row>
    <row r="10" spans="1:27" s="60" customFormat="1" ht="15" customHeight="1" x14ac:dyDescent="0.2">
      <c r="B10" s="275"/>
      <c r="C10" s="224"/>
      <c r="D10" s="280"/>
      <c r="E10" s="266"/>
      <c r="F10" s="266"/>
      <c r="G10" s="266"/>
      <c r="H10" s="266"/>
      <c r="I10" s="266"/>
      <c r="J10" s="266"/>
      <c r="K10" s="266"/>
    </row>
    <row r="11" spans="1:27" s="60" customFormat="1" ht="15" customHeight="1" x14ac:dyDescent="0.25">
      <c r="D11" s="164" t="s">
        <v>1951</v>
      </c>
      <c r="E11" s="34"/>
      <c r="F11" s="266"/>
      <c r="G11" s="266"/>
      <c r="H11" s="266"/>
      <c r="I11" s="266"/>
      <c r="J11" s="266"/>
      <c r="K11" s="266"/>
      <c r="L11" s="266"/>
      <c r="M11" s="266"/>
      <c r="W11" s="292"/>
      <c r="X11" s="292"/>
      <c r="Y11" s="292"/>
      <c r="Z11" s="292"/>
      <c r="AA11" s="292"/>
    </row>
    <row r="12" spans="1:27" s="60" customFormat="1" ht="15" customHeight="1" x14ac:dyDescent="0.2">
      <c r="D12" s="60" t="s">
        <v>338</v>
      </c>
      <c r="G12" s="237">
        <v>8</v>
      </c>
      <c r="H12" s="49" t="s">
        <v>1873</v>
      </c>
      <c r="I12" s="266"/>
      <c r="J12" s="266"/>
      <c r="K12" s="266"/>
      <c r="L12" s="266"/>
      <c r="M12" s="266"/>
      <c r="W12" s="292"/>
      <c r="X12" s="292"/>
      <c r="Y12" s="292"/>
      <c r="Z12" s="292"/>
      <c r="AA12" s="292"/>
    </row>
    <row r="13" spans="1:27" s="60" customFormat="1" ht="15" customHeight="1" x14ac:dyDescent="0.2">
      <c r="E13" s="266"/>
      <c r="G13" s="237">
        <v>90</v>
      </c>
      <c r="H13" s="49" t="s">
        <v>1874</v>
      </c>
      <c r="I13" s="266"/>
      <c r="J13" s="266"/>
      <c r="K13" s="266"/>
      <c r="L13" s="266"/>
      <c r="M13" s="266"/>
      <c r="W13" s="292"/>
      <c r="X13" s="292"/>
      <c r="Y13" s="292"/>
      <c r="Z13" s="292"/>
      <c r="AA13" s="292"/>
    </row>
    <row r="14" spans="1:27" s="60" customFormat="1" ht="15" customHeight="1" x14ac:dyDescent="0.2">
      <c r="D14" s="266"/>
      <c r="E14" s="266"/>
      <c r="F14" s="266"/>
      <c r="G14" s="266"/>
      <c r="H14" s="49"/>
      <c r="I14" s="266"/>
      <c r="J14" s="266"/>
      <c r="K14" s="266"/>
      <c r="Y14" s="292"/>
      <c r="Z14" s="292"/>
      <c r="AA14" s="292"/>
    </row>
    <row r="15" spans="1:27" s="60" customFormat="1" ht="15" customHeight="1" x14ac:dyDescent="0.2">
      <c r="F15" s="225" t="s">
        <v>637</v>
      </c>
      <c r="G15" s="224">
        <f>W15*5</f>
        <v>500</v>
      </c>
      <c r="H15" s="273" t="s">
        <v>558</v>
      </c>
      <c r="I15" s="169" t="s">
        <v>1140</v>
      </c>
      <c r="J15" s="266"/>
      <c r="K15" s="266"/>
      <c r="W15" s="325" t="str">
        <f>IF(G12&lt;10,"100",IF(AND(G12&gt;=10,G12&lt;20),"80",IF(AND(G12&gt;=20,G12&lt;40),"40",IF(AND(G12&gt;=40,G12&lt;60),"20",0))))</f>
        <v>100</v>
      </c>
      <c r="X15" s="26" t="s">
        <v>653</v>
      </c>
      <c r="Y15" s="292"/>
      <c r="Z15" s="292"/>
      <c r="AA15" s="292"/>
    </row>
    <row r="16" spans="1:27" s="60" customFormat="1" ht="15" customHeight="1" x14ac:dyDescent="0.2">
      <c r="F16" s="226" t="s">
        <v>1139</v>
      </c>
      <c r="G16" s="276">
        <v>350</v>
      </c>
      <c r="H16" s="273" t="s">
        <v>558</v>
      </c>
      <c r="I16" s="277" t="str">
        <f>IF(G13&lt;60,"20-00-30",IF(AND(G13&gt;=60,G13&lt;120),"20-00-20",IF(AND(G13&gt;=120,G13&lt;200),"20-00-15",IF(AND(G13&gt;=200,G13&lt;280),"20-00-10","Sulfato de Amônio"))))</f>
        <v>20-00-20</v>
      </c>
      <c r="J16" s="266"/>
      <c r="K16" s="266"/>
      <c r="W16" s="171"/>
      <c r="X16" s="26"/>
      <c r="Y16" s="292"/>
      <c r="Z16" s="292"/>
      <c r="AA16" s="292"/>
    </row>
    <row r="17" spans="4:27" s="60" customFormat="1" ht="15" customHeight="1" x14ac:dyDescent="0.2">
      <c r="D17" s="266"/>
      <c r="E17" s="266"/>
      <c r="F17" s="266"/>
      <c r="G17" s="266"/>
      <c r="H17" s="49"/>
      <c r="I17" s="279"/>
      <c r="J17" s="266"/>
      <c r="K17" s="266"/>
      <c r="W17" s="26"/>
      <c r="X17" s="26"/>
      <c r="Y17" s="292"/>
      <c r="Z17" s="292"/>
      <c r="AA17" s="292"/>
    </row>
    <row r="18" spans="4:27" s="60" customFormat="1" ht="15" customHeight="1" x14ac:dyDescent="0.25">
      <c r="D18" s="164" t="s">
        <v>1952</v>
      </c>
      <c r="E18" s="34"/>
      <c r="F18" s="266"/>
      <c r="G18" s="266"/>
      <c r="H18" s="171"/>
      <c r="I18" s="263"/>
      <c r="J18" s="27"/>
      <c r="K18" s="27"/>
      <c r="W18" s="26"/>
      <c r="X18" s="26"/>
      <c r="Y18" s="292"/>
      <c r="Z18" s="292"/>
      <c r="AA18" s="292"/>
    </row>
    <row r="19" spans="4:27" s="60" customFormat="1" ht="15" customHeight="1" x14ac:dyDescent="0.2">
      <c r="D19" s="266"/>
      <c r="E19" s="266"/>
      <c r="F19" s="266"/>
      <c r="G19" s="266"/>
      <c r="H19" s="171"/>
      <c r="I19" s="263"/>
      <c r="J19" s="27"/>
      <c r="K19" s="27"/>
      <c r="W19" s="26"/>
      <c r="X19" s="26"/>
      <c r="Y19" s="292"/>
      <c r="Z19" s="292"/>
      <c r="AA19" s="292"/>
    </row>
    <row r="20" spans="4:27" s="60" customFormat="1" ht="15" customHeight="1" x14ac:dyDescent="0.2">
      <c r="D20" s="60" t="s">
        <v>338</v>
      </c>
      <c r="G20" s="237">
        <v>8</v>
      </c>
      <c r="H20" s="49" t="s">
        <v>1873</v>
      </c>
      <c r="I20" s="272"/>
      <c r="J20" s="266"/>
      <c r="K20" s="266"/>
      <c r="W20" s="26"/>
      <c r="X20" s="26"/>
      <c r="Y20" s="292"/>
      <c r="Z20" s="292"/>
      <c r="AA20" s="292"/>
    </row>
    <row r="21" spans="4:27" s="60" customFormat="1" ht="15" customHeight="1" x14ac:dyDescent="0.2">
      <c r="D21" s="266"/>
      <c r="G21" s="237">
        <v>150</v>
      </c>
      <c r="H21" s="49" t="s">
        <v>1874</v>
      </c>
      <c r="I21" s="266"/>
      <c r="J21" s="266"/>
      <c r="K21" s="266"/>
      <c r="W21" s="26"/>
      <c r="X21" s="26"/>
      <c r="Y21" s="292"/>
      <c r="Z21" s="292"/>
      <c r="AA21" s="292"/>
    </row>
    <row r="22" spans="4:27" s="60" customFormat="1" ht="15" customHeight="1" x14ac:dyDescent="0.2">
      <c r="D22" s="266"/>
      <c r="E22" s="266"/>
      <c r="F22" s="266"/>
      <c r="G22" s="266"/>
      <c r="H22" s="49"/>
      <c r="I22" s="266"/>
      <c r="J22" s="266"/>
      <c r="K22" s="266"/>
      <c r="W22" s="26"/>
      <c r="X22" s="26"/>
      <c r="Y22" s="292"/>
      <c r="Z22" s="292"/>
      <c r="AA22" s="292"/>
    </row>
    <row r="23" spans="4:27" s="60" customFormat="1" ht="15" customHeight="1" x14ac:dyDescent="0.2">
      <c r="E23" s="225" t="s">
        <v>637</v>
      </c>
      <c r="F23" s="224">
        <f>W23*5</f>
        <v>500</v>
      </c>
      <c r="G23" s="280" t="s">
        <v>558</v>
      </c>
      <c r="H23" s="169" t="s">
        <v>1140</v>
      </c>
      <c r="I23" s="266"/>
      <c r="J23" s="266"/>
      <c r="K23" s="266"/>
      <c r="W23" s="325" t="str">
        <f>IF(G20&lt;10,"100",IF(AND(G20&gt;=10,G20&lt;20),"80",IF(AND(G20&gt;=20,G20&lt;40),"40",IF(AND(G20&gt;=40,G20&lt;60),"20",0))))</f>
        <v>100</v>
      </c>
      <c r="X23" s="26" t="s">
        <v>653</v>
      </c>
      <c r="Y23" s="292"/>
      <c r="Z23" s="292"/>
      <c r="AA23" s="292"/>
    </row>
    <row r="24" spans="4:27" s="60" customFormat="1" ht="15" customHeight="1" x14ac:dyDescent="0.2">
      <c r="E24" s="226" t="s">
        <v>1139</v>
      </c>
      <c r="F24" s="276">
        <v>500</v>
      </c>
      <c r="G24" s="280" t="s">
        <v>558</v>
      </c>
      <c r="H24" s="277" t="str">
        <f>IF(G21&lt;60,"20-00-30",IF(AND(G21&gt;=60,G21&lt;120),"20-00-20",IF(AND(G21&gt;=120,G21&lt;200),"20-00-15",IF(AND(G21&gt;=200,G21&lt;280),"20-00-10","Sulfato de Amônio"))))</f>
        <v>20-00-15</v>
      </c>
      <c r="I24" s="266"/>
      <c r="J24" s="266"/>
      <c r="K24" s="266"/>
      <c r="W24" s="171"/>
      <c r="X24" s="26"/>
      <c r="Y24" s="292"/>
      <c r="Z24" s="292"/>
      <c r="AA24" s="292"/>
    </row>
    <row r="25" spans="4:27" s="60" customFormat="1" ht="15" customHeight="1" x14ac:dyDescent="0.2">
      <c r="D25" s="266"/>
      <c r="E25" s="266"/>
      <c r="F25" s="266"/>
      <c r="G25" s="266"/>
      <c r="H25" s="49"/>
      <c r="I25" s="279"/>
      <c r="J25" s="266"/>
      <c r="K25" s="266"/>
      <c r="W25" s="26"/>
      <c r="X25" s="26"/>
      <c r="Y25" s="292"/>
      <c r="Z25" s="292"/>
      <c r="AA25" s="292"/>
    </row>
    <row r="26" spans="4:27" ht="15" customHeight="1" x14ac:dyDescent="0.25">
      <c r="D26" s="282" t="s">
        <v>1941</v>
      </c>
      <c r="E26" s="281"/>
      <c r="F26" s="281"/>
      <c r="G26" s="281"/>
      <c r="H26" s="273"/>
      <c r="I26" s="283"/>
      <c r="J26" s="283"/>
      <c r="K26" s="283"/>
      <c r="W26" s="273"/>
      <c r="X26" s="273"/>
      <c r="Y26" s="26"/>
      <c r="Z26" s="26"/>
      <c r="AA26" s="26"/>
    </row>
    <row r="27" spans="4:27" ht="15" customHeight="1" x14ac:dyDescent="0.2">
      <c r="D27" s="60" t="s">
        <v>338</v>
      </c>
      <c r="G27" s="237">
        <v>20</v>
      </c>
      <c r="H27" s="273" t="s">
        <v>1945</v>
      </c>
      <c r="I27" s="283"/>
      <c r="J27" s="283"/>
      <c r="K27" s="263"/>
      <c r="Y27" s="26"/>
      <c r="Z27" s="26"/>
      <c r="AA27" s="26"/>
    </row>
    <row r="28" spans="4:27" ht="15" customHeight="1" x14ac:dyDescent="0.3">
      <c r="E28" s="281"/>
      <c r="G28" s="5">
        <v>7</v>
      </c>
      <c r="H28" s="273" t="s">
        <v>1946</v>
      </c>
      <c r="I28" s="272"/>
      <c r="J28" s="272"/>
      <c r="K28" s="272"/>
      <c r="W28" s="315"/>
      <c r="X28" s="26"/>
      <c r="Y28" s="26"/>
      <c r="Z28" s="26"/>
      <c r="AA28" s="26"/>
    </row>
    <row r="29" spans="4:27" ht="15" customHeight="1" x14ac:dyDescent="0.2">
      <c r="E29" s="281"/>
      <c r="G29" s="237">
        <v>80</v>
      </c>
      <c r="H29" s="273" t="s">
        <v>1947</v>
      </c>
      <c r="I29" s="283"/>
      <c r="J29" s="283"/>
      <c r="K29" s="263"/>
      <c r="W29" s="273"/>
      <c r="X29" s="273"/>
      <c r="Y29" s="26"/>
      <c r="Z29" s="26"/>
      <c r="AA29" s="26"/>
    </row>
    <row r="30" spans="4:27" ht="15" customHeight="1" x14ac:dyDescent="0.2">
      <c r="D30" s="281"/>
      <c r="E30" s="281"/>
      <c r="G30" s="281"/>
      <c r="H30" s="170"/>
      <c r="I30" s="275"/>
      <c r="J30" s="281"/>
      <c r="K30" s="281"/>
      <c r="L30" s="281"/>
      <c r="M30" s="281"/>
    </row>
    <row r="31" spans="4:27" ht="15" customHeight="1" x14ac:dyDescent="0.2">
      <c r="D31" s="273" t="s">
        <v>1708</v>
      </c>
      <c r="E31" s="283"/>
      <c r="G31" s="220">
        <f>IF(W31&gt;0,W31,0)</f>
        <v>3.5</v>
      </c>
      <c r="H31" s="273" t="s">
        <v>1246</v>
      </c>
      <c r="I31" s="281"/>
      <c r="J31" s="281"/>
      <c r="K31" s="281"/>
      <c r="L31" s="281"/>
      <c r="M31" s="281"/>
      <c r="W31" s="315">
        <f xml:space="preserve"> G28*(60-G27)/G29</f>
        <v>3.5</v>
      </c>
      <c r="X31" s="26" t="s">
        <v>349</v>
      </c>
    </row>
    <row r="32" spans="4:27" ht="15" customHeight="1" x14ac:dyDescent="0.2">
      <c r="D32" s="275"/>
      <c r="E32" s="220"/>
      <c r="F32" s="280"/>
      <c r="G32" s="281"/>
      <c r="H32" s="281"/>
      <c r="I32" s="281"/>
      <c r="J32" s="281"/>
      <c r="K32" s="281"/>
      <c r="L32" s="281"/>
      <c r="M32" s="281"/>
    </row>
    <row r="33" spans="2:13" ht="15" customHeight="1" x14ac:dyDescent="0.2">
      <c r="D33" s="169"/>
      <c r="H33" s="272"/>
    </row>
    <row r="34" spans="2:13" ht="15" customHeight="1" x14ac:dyDescent="0.2">
      <c r="D34" s="275"/>
      <c r="E34" s="224"/>
      <c r="F34" s="280"/>
    </row>
    <row r="35" spans="2:13" ht="15" customHeight="1" x14ac:dyDescent="0.2">
      <c r="E35" s="213"/>
      <c r="F35" s="213"/>
      <c r="G35" s="213"/>
      <c r="H35" s="272"/>
      <c r="I35" s="213"/>
      <c r="J35" s="213"/>
      <c r="K35" s="213"/>
      <c r="L35" s="213"/>
      <c r="M35" s="213"/>
    </row>
    <row r="36" spans="2:13" ht="15" customHeight="1" x14ac:dyDescent="0.2">
      <c r="D36" s="275"/>
      <c r="E36" s="281"/>
      <c r="F36" s="281"/>
      <c r="G36" s="281"/>
      <c r="H36" s="281"/>
      <c r="I36" s="281"/>
      <c r="J36" s="281"/>
      <c r="K36" s="281"/>
      <c r="L36" s="281"/>
      <c r="M36" s="281"/>
    </row>
    <row r="37" spans="2:13" ht="15" customHeight="1" x14ac:dyDescent="0.2">
      <c r="D37" s="275"/>
      <c r="E37" s="281"/>
      <c r="F37" s="281"/>
      <c r="G37" s="281"/>
      <c r="H37" s="281"/>
      <c r="I37" s="281"/>
      <c r="J37" s="281"/>
      <c r="K37" s="281"/>
      <c r="L37" s="281"/>
      <c r="M37" s="281"/>
    </row>
    <row r="38" spans="2:13" ht="15" customHeight="1" x14ac:dyDescent="0.2">
      <c r="D38" s="275"/>
      <c r="E38" s="281"/>
      <c r="F38" s="281"/>
      <c r="G38" s="281"/>
      <c r="H38" s="281"/>
      <c r="I38" s="281"/>
      <c r="J38" s="281"/>
      <c r="K38" s="281"/>
      <c r="L38" s="281"/>
      <c r="M38" s="281"/>
    </row>
    <row r="39" spans="2:13" ht="15" customHeight="1" x14ac:dyDescent="0.2">
      <c r="D39" s="267"/>
      <c r="E39" s="267"/>
      <c r="F39" s="267"/>
      <c r="G39" s="267"/>
      <c r="H39" s="267"/>
      <c r="I39" s="267"/>
      <c r="J39" s="267"/>
      <c r="K39" s="267"/>
      <c r="L39" s="267"/>
      <c r="M39" s="281"/>
    </row>
    <row r="40" spans="2:13" ht="15" customHeight="1" x14ac:dyDescent="0.2">
      <c r="D40" s="267"/>
      <c r="E40" s="60"/>
      <c r="F40" s="60"/>
      <c r="G40" s="60"/>
      <c r="H40" s="60"/>
      <c r="I40" s="60"/>
      <c r="J40" s="60"/>
      <c r="K40" s="60"/>
      <c r="L40" s="60"/>
      <c r="M40" s="60"/>
    </row>
    <row r="41" spans="2:13" s="60" customFormat="1" ht="15" customHeight="1" x14ac:dyDescent="0.2">
      <c r="D41" s="226" t="s">
        <v>891</v>
      </c>
      <c r="E41" s="771">
        <f ca="1">TODAY()</f>
        <v>45064</v>
      </c>
      <c r="F41" s="772"/>
      <c r="G41" s="60" t="s">
        <v>373</v>
      </c>
    </row>
    <row r="42" spans="2:13" s="60" customFormat="1" ht="15" customHeight="1" x14ac:dyDescent="0.2">
      <c r="D42" s="267"/>
    </row>
    <row r="43" spans="2:13" s="60" customFormat="1" ht="15" hidden="1" customHeight="1" x14ac:dyDescent="0.2">
      <c r="D43" s="267"/>
    </row>
    <row r="44" spans="2:13" s="60" customFormat="1" ht="15" hidden="1" customHeight="1" x14ac:dyDescent="0.2">
      <c r="D44" s="267"/>
    </row>
    <row r="45" spans="2:13" s="60" customFormat="1" ht="15" hidden="1" customHeight="1" x14ac:dyDescent="0.2">
      <c r="D45" s="267"/>
    </row>
    <row r="46" spans="2:13" s="60" customFormat="1" ht="15" hidden="1" customHeight="1" x14ac:dyDescent="0.2">
      <c r="D46" s="267"/>
    </row>
    <row r="47" spans="2:13" s="60" customFormat="1" ht="15" hidden="1" customHeight="1" x14ac:dyDescent="0.2">
      <c r="B47" s="267"/>
      <c r="G47" s="266"/>
    </row>
    <row r="48" spans="2:13" ht="15" hidden="1" customHeight="1" x14ac:dyDescent="0.2">
      <c r="B48" s="60"/>
      <c r="C48" s="267"/>
      <c r="D48" s="267"/>
      <c r="E48" s="60"/>
      <c r="F48" s="60"/>
      <c r="G48" s="60"/>
      <c r="H48" s="60"/>
      <c r="I48" s="60"/>
    </row>
    <row r="49" spans="2:9" ht="15" hidden="1" customHeight="1" x14ac:dyDescent="0.2">
      <c r="B49" s="60"/>
      <c r="C49" s="267"/>
      <c r="D49" s="267"/>
      <c r="E49" s="60"/>
      <c r="F49" s="60"/>
      <c r="G49" s="60"/>
      <c r="H49" s="60"/>
      <c r="I49" s="60"/>
    </row>
    <row r="50" spans="2:9" ht="15" hidden="1" customHeight="1" x14ac:dyDescent="0.2">
      <c r="B50" s="60"/>
      <c r="C50" s="267"/>
      <c r="D50" s="267"/>
      <c r="E50" s="60"/>
      <c r="F50" s="60"/>
      <c r="G50" s="60"/>
      <c r="H50" s="60"/>
      <c r="I50" s="60"/>
    </row>
    <row r="51" spans="2:9" ht="15" hidden="1" customHeight="1" x14ac:dyDescent="0.2">
      <c r="B51" s="60"/>
      <c r="C51" s="267"/>
      <c r="D51" s="267"/>
      <c r="E51" s="60"/>
      <c r="F51" s="60"/>
      <c r="G51" s="60"/>
      <c r="H51" s="60"/>
      <c r="I51" s="60"/>
    </row>
    <row r="52" spans="2:9" ht="15" hidden="1" customHeight="1" x14ac:dyDescent="0.2">
      <c r="B52" s="60"/>
      <c r="F52" s="60"/>
      <c r="G52" s="60"/>
      <c r="H52" s="60"/>
      <c r="I52" s="60"/>
    </row>
    <row r="53" spans="2:9" ht="15" hidden="1" customHeight="1" x14ac:dyDescent="0.2"/>
    <row r="54" spans="2:9" ht="15" hidden="1" customHeight="1" x14ac:dyDescent="0.2"/>
  </sheetData>
  <sheetProtection algorithmName="SHA-512" hashValue="G8b0ZrkaUkJmZEq18QQjc9tY2nHH6eOJL2CA2GDb+HK8qh5aTgICFtHhp3ahlz9tBCIIzSaabYG2EADQEUMw3Q==" saltValue="B9wXUjISYs3KrlZqeF5FHw==" spinCount="100000" sheet="1" objects="1" scenarios="1"/>
  <mergeCells count="3">
    <mergeCell ref="E41:F41"/>
    <mergeCell ref="E8:M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2" orientation="portrait" cellComments="atEnd" horizontalDpi="360" verticalDpi="36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>
    <pageSetUpPr fitToPage="1"/>
  </sheetPr>
  <dimension ref="A1:Y46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8" ht="24.95" customHeight="1" x14ac:dyDescent="0.2">
      <c r="E6" s="699" t="s">
        <v>1950</v>
      </c>
      <c r="F6" s="699"/>
      <c r="G6" s="699"/>
      <c r="H6" s="699"/>
      <c r="I6" s="699"/>
      <c r="J6" s="699"/>
      <c r="K6" s="699"/>
      <c r="L6" s="699"/>
    </row>
    <row r="7" spans="1:18" ht="15" customHeight="1" x14ac:dyDescent="0.2">
      <c r="G7" s="235"/>
      <c r="H7" s="235"/>
      <c r="I7" s="235"/>
      <c r="J7" s="235"/>
      <c r="K7" s="235"/>
      <c r="L7" s="235"/>
    </row>
    <row r="8" spans="1:18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8" s="164" customFormat="1" ht="15" customHeight="1" x14ac:dyDescent="0.25">
      <c r="B9" s="486"/>
      <c r="C9" s="486"/>
      <c r="D9" s="486"/>
      <c r="E9" s="486"/>
      <c r="F9" s="486"/>
      <c r="G9" s="486"/>
      <c r="H9" s="486"/>
      <c r="I9" s="486"/>
    </row>
    <row r="10" spans="1:18" s="164" customFormat="1" ht="15" customHeight="1" x14ac:dyDescent="0.25">
      <c r="D10" s="322"/>
      <c r="E10" s="322"/>
      <c r="F10" s="322"/>
      <c r="G10" s="322"/>
      <c r="H10" s="322"/>
    </row>
    <row r="11" spans="1:18" ht="15" customHeight="1" x14ac:dyDescent="0.2">
      <c r="D11" s="60" t="s">
        <v>671</v>
      </c>
      <c r="G11" s="237">
        <v>6</v>
      </c>
      <c r="H11" s="298" t="s">
        <v>2070</v>
      </c>
      <c r="I11" s="237">
        <v>4</v>
      </c>
      <c r="J11" s="298" t="s">
        <v>2069</v>
      </c>
      <c r="K11" s="310">
        <f>10000/(G11*I11)</f>
        <v>416.66666666666669</v>
      </c>
      <c r="L11" s="281" t="s">
        <v>353</v>
      </c>
    </row>
    <row r="12" spans="1:18" ht="15" customHeight="1" x14ac:dyDescent="0.2"/>
    <row r="13" spans="1:18" s="60" customFormat="1" ht="15" customHeight="1" x14ac:dyDescent="0.2">
      <c r="D13" s="298" t="s">
        <v>1703</v>
      </c>
      <c r="G13" s="237">
        <v>5</v>
      </c>
      <c r="H13" s="49" t="s">
        <v>1873</v>
      </c>
      <c r="I13" s="271"/>
      <c r="J13" s="272"/>
      <c r="K13" s="27"/>
      <c r="L13" s="27"/>
      <c r="M13" s="27"/>
      <c r="N13" s="266"/>
    </row>
    <row r="14" spans="1:18" s="60" customFormat="1" ht="15" customHeight="1" x14ac:dyDescent="0.2">
      <c r="E14" s="266"/>
      <c r="G14" s="237">
        <v>150</v>
      </c>
      <c r="H14" s="49" t="s">
        <v>1874</v>
      </c>
      <c r="I14" s="271"/>
      <c r="J14" s="266"/>
      <c r="K14" s="266"/>
      <c r="L14" s="266"/>
      <c r="M14" s="266"/>
      <c r="N14" s="266"/>
    </row>
    <row r="15" spans="1:18" s="60" customFormat="1" ht="15" customHeight="1" x14ac:dyDescent="0.2">
      <c r="H15" s="298"/>
      <c r="J15" s="266"/>
      <c r="K15" s="266"/>
      <c r="L15" s="266"/>
      <c r="M15" s="266"/>
      <c r="N15" s="266"/>
    </row>
    <row r="16" spans="1:18" s="60" customFormat="1" ht="15" customHeight="1" x14ac:dyDescent="0.2">
      <c r="D16" s="298" t="s">
        <v>846</v>
      </c>
      <c r="G16" s="237">
        <v>14</v>
      </c>
      <c r="H16" s="49" t="s">
        <v>349</v>
      </c>
      <c r="I16" s="266"/>
      <c r="J16" s="266"/>
      <c r="K16" s="266"/>
      <c r="L16" s="266"/>
      <c r="M16" s="266"/>
      <c r="N16" s="27"/>
      <c r="O16" s="296"/>
      <c r="P16" s="296"/>
      <c r="Q16" s="296"/>
      <c r="R16" s="296"/>
    </row>
    <row r="17" spans="4:25" s="60" customFormat="1" ht="15" customHeight="1" x14ac:dyDescent="0.2">
      <c r="D17" s="266"/>
      <c r="F17" s="263"/>
      <c r="G17" s="266"/>
      <c r="H17" s="298"/>
      <c r="I17" s="266"/>
      <c r="J17" s="266"/>
      <c r="K17" s="266"/>
      <c r="L17" s="266"/>
      <c r="M17" s="266"/>
      <c r="N17" s="296"/>
      <c r="O17" s="296"/>
      <c r="P17" s="296"/>
      <c r="Q17" s="296"/>
      <c r="R17" s="296"/>
    </row>
    <row r="18" spans="4:25" s="60" customFormat="1" ht="15" customHeight="1" x14ac:dyDescent="0.25">
      <c r="D18" s="282" t="s">
        <v>350</v>
      </c>
      <c r="F18" s="263"/>
      <c r="G18" s="266"/>
      <c r="H18" s="298"/>
      <c r="I18" s="266"/>
      <c r="J18" s="266"/>
      <c r="K18" s="266"/>
      <c r="L18" s="266"/>
      <c r="M18" s="266"/>
      <c r="N18" s="296"/>
      <c r="R18" s="296"/>
      <c r="W18" s="296"/>
      <c r="X18" s="296"/>
      <c r="Y18" s="296"/>
    </row>
    <row r="19" spans="4:25" s="60" customFormat="1" ht="15" customHeight="1" x14ac:dyDescent="0.2">
      <c r="E19" s="266"/>
      <c r="F19" s="225" t="s">
        <v>637</v>
      </c>
      <c r="G19" s="224">
        <f>1000*((W19*5)/K11)</f>
        <v>1200</v>
      </c>
      <c r="H19" s="273" t="s">
        <v>558</v>
      </c>
      <c r="I19" s="169" t="s">
        <v>1140</v>
      </c>
      <c r="J19" s="266"/>
      <c r="K19" s="266"/>
      <c r="L19" s="266"/>
      <c r="M19" s="266"/>
      <c r="N19" s="296"/>
      <c r="R19" s="296"/>
      <c r="W19" s="325" t="str">
        <f>IF(G13&lt;10,"100",IF(AND(G13&gt;=10,G13&lt;20),"80",IF(AND(G13&gt;=20,G13&lt;40),"40",IF(AND(G13&gt;=40,G13&lt;60),"20",0))))</f>
        <v>100</v>
      </c>
      <c r="X19" s="26" t="s">
        <v>651</v>
      </c>
      <c r="Y19" s="296"/>
    </row>
    <row r="20" spans="4:25" ht="15" customHeight="1" x14ac:dyDescent="0.2">
      <c r="F20" s="226" t="s">
        <v>1139</v>
      </c>
      <c r="G20" s="276">
        <f>1000*((W20*5)/K11)/3</f>
        <v>400</v>
      </c>
      <c r="H20" s="273" t="s">
        <v>558</v>
      </c>
      <c r="I20" s="277" t="str">
        <f>IF(G14&lt;60,"20-00-30",IF(AND(G14&gt;=60,G14&lt;120),"20-00-20",IF(AND(G14&gt;=120,G14&lt;200),"20-00-15",IF(AND(G14&gt;=200,G14&lt;280),"20-00-10","Sulfato de Amônio"))))</f>
        <v>20-00-15</v>
      </c>
      <c r="N20" s="27"/>
      <c r="R20" s="27"/>
      <c r="W20" s="171">
        <f>IF(G16&lt;15,100,IF(AND(G16&gt;=15,G16&lt;25),150,200))</f>
        <v>100</v>
      </c>
      <c r="X20" s="26" t="s">
        <v>652</v>
      </c>
      <c r="Y20" s="27"/>
    </row>
    <row r="21" spans="4:25" ht="15" customHeight="1" x14ac:dyDescent="0.2">
      <c r="H21" s="49"/>
      <c r="N21" s="27"/>
      <c r="R21" s="27"/>
      <c r="W21" s="26"/>
      <c r="X21" s="26"/>
      <c r="Y21" s="27"/>
    </row>
    <row r="22" spans="4:25" ht="15" customHeight="1" x14ac:dyDescent="0.25">
      <c r="D22" s="282" t="s">
        <v>25</v>
      </c>
      <c r="E22" s="281"/>
      <c r="F22" s="281"/>
      <c r="G22" s="281"/>
      <c r="H22" s="273"/>
      <c r="I22" s="283"/>
      <c r="J22" s="283"/>
      <c r="K22" s="283"/>
      <c r="N22" s="27"/>
      <c r="R22" s="27"/>
      <c r="W22" s="273"/>
      <c r="X22" s="273"/>
      <c r="Y22" s="27"/>
    </row>
    <row r="23" spans="4:25" ht="15" customHeight="1" x14ac:dyDescent="0.2">
      <c r="D23" s="170" t="s">
        <v>1703</v>
      </c>
      <c r="G23" s="237">
        <v>20</v>
      </c>
      <c r="H23" s="273" t="s">
        <v>1929</v>
      </c>
      <c r="I23" s="283"/>
      <c r="J23" s="283"/>
      <c r="K23" s="283"/>
      <c r="N23" s="27"/>
      <c r="R23" s="27"/>
      <c r="W23" s="315">
        <f xml:space="preserve"> G24*(60-G23)/G26</f>
        <v>3.5</v>
      </c>
      <c r="X23" s="26" t="s">
        <v>349</v>
      </c>
      <c r="Y23" s="27"/>
    </row>
    <row r="24" spans="4:25" ht="15" customHeight="1" x14ac:dyDescent="0.2">
      <c r="E24" s="281"/>
      <c r="G24" s="5">
        <v>7</v>
      </c>
      <c r="H24" s="273" t="s">
        <v>1934</v>
      </c>
      <c r="I24" s="272"/>
      <c r="J24" s="272"/>
      <c r="K24" s="272"/>
      <c r="L24" s="283"/>
      <c r="M24" s="283"/>
      <c r="N24" s="27"/>
      <c r="R24" s="27"/>
      <c r="W24" s="315"/>
      <c r="X24" s="26"/>
      <c r="Y24" s="27"/>
    </row>
    <row r="25" spans="4:25" ht="15" customHeight="1" x14ac:dyDescent="0.2">
      <c r="D25" s="27"/>
      <c r="E25" s="283"/>
      <c r="F25" s="27"/>
      <c r="G25" s="208"/>
      <c r="H25" s="273"/>
      <c r="I25" s="272"/>
      <c r="J25" s="272"/>
      <c r="K25" s="272"/>
      <c r="L25" s="283"/>
      <c r="M25" s="283"/>
      <c r="N25" s="27"/>
      <c r="R25" s="27"/>
      <c r="W25" s="315"/>
      <c r="X25" s="26"/>
      <c r="Y25" s="27"/>
    </row>
    <row r="26" spans="4:25" ht="15" customHeight="1" x14ac:dyDescent="0.2">
      <c r="D26" s="273" t="s">
        <v>340</v>
      </c>
      <c r="E26" s="281"/>
      <c r="G26" s="237">
        <v>80</v>
      </c>
      <c r="H26" s="273" t="s">
        <v>341</v>
      </c>
      <c r="I26" s="283"/>
      <c r="J26" s="283"/>
      <c r="K26" s="263"/>
      <c r="L26" s="283"/>
      <c r="M26" s="283"/>
      <c r="N26" s="27"/>
      <c r="O26" s="27"/>
      <c r="P26" s="27"/>
      <c r="Q26" s="27"/>
      <c r="R26" s="27"/>
    </row>
    <row r="27" spans="4:25" ht="15" customHeight="1" x14ac:dyDescent="0.2">
      <c r="D27" s="281"/>
      <c r="E27" s="281"/>
      <c r="F27" s="281"/>
      <c r="G27" s="281"/>
      <c r="H27" s="273"/>
      <c r="I27" s="281"/>
      <c r="J27" s="281"/>
      <c r="K27" s="281"/>
      <c r="L27" s="281"/>
      <c r="M27" s="281"/>
      <c r="N27" s="27"/>
      <c r="O27" s="27"/>
      <c r="P27" s="27"/>
      <c r="Q27" s="27"/>
      <c r="R27" s="27"/>
    </row>
    <row r="28" spans="4:25" ht="15" customHeight="1" x14ac:dyDescent="0.2">
      <c r="D28" s="292" t="s">
        <v>1708</v>
      </c>
      <c r="G28" s="220">
        <f>IF(W23&gt;0,W23,0)</f>
        <v>3.5</v>
      </c>
      <c r="H28" s="273" t="s">
        <v>241</v>
      </c>
      <c r="I28" s="281"/>
      <c r="J28" s="281"/>
      <c r="K28" s="281"/>
      <c r="L28" s="281"/>
      <c r="M28" s="281"/>
      <c r="N28" s="27"/>
      <c r="O28" s="27"/>
      <c r="P28" s="27"/>
      <c r="Q28" s="27"/>
      <c r="R28" s="27"/>
    </row>
    <row r="29" spans="4:25" ht="15" customHeight="1" x14ac:dyDescent="0.2">
      <c r="D29" s="275"/>
      <c r="E29" s="220"/>
      <c r="F29" s="280"/>
      <c r="G29" s="281"/>
      <c r="H29" s="281"/>
      <c r="I29" s="281"/>
      <c r="J29" s="281"/>
      <c r="K29" s="281"/>
      <c r="L29" s="281"/>
      <c r="M29" s="281"/>
    </row>
    <row r="30" spans="4:25" ht="15" customHeight="1" x14ac:dyDescent="0.2">
      <c r="D30" s="169"/>
      <c r="H30" s="272"/>
    </row>
    <row r="31" spans="4:25" ht="15" customHeight="1" x14ac:dyDescent="0.2">
      <c r="D31" s="275"/>
      <c r="E31" s="224"/>
      <c r="F31" s="280"/>
    </row>
    <row r="32" spans="4:25" ht="15" customHeight="1" x14ac:dyDescent="0.2">
      <c r="E32" s="213"/>
      <c r="F32" s="213"/>
      <c r="G32" s="213"/>
      <c r="H32" s="272"/>
      <c r="I32" s="213"/>
      <c r="J32" s="213"/>
      <c r="K32" s="213"/>
      <c r="L32" s="213"/>
      <c r="M32" s="213"/>
    </row>
    <row r="33" spans="4:13" ht="15" customHeight="1" x14ac:dyDescent="0.2">
      <c r="D33" s="275"/>
      <c r="E33" s="281"/>
      <c r="F33" s="281"/>
      <c r="G33" s="281"/>
      <c r="H33" s="281"/>
      <c r="I33" s="281"/>
      <c r="J33" s="281"/>
      <c r="K33" s="281"/>
      <c r="L33" s="281"/>
      <c r="M33" s="281"/>
    </row>
    <row r="34" spans="4:13" ht="15" customHeight="1" x14ac:dyDescent="0.2">
      <c r="D34" s="275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4:13" ht="15" customHeight="1" x14ac:dyDescent="0.2">
      <c r="D35" s="275"/>
      <c r="E35" s="281"/>
      <c r="F35" s="281"/>
      <c r="G35" s="281"/>
      <c r="H35" s="281"/>
      <c r="I35" s="281"/>
      <c r="J35" s="281"/>
      <c r="K35" s="281"/>
      <c r="L35" s="281"/>
      <c r="M35" s="281"/>
    </row>
    <row r="36" spans="4:13" ht="15" customHeight="1" x14ac:dyDescent="0.2">
      <c r="D36" s="267"/>
      <c r="E36" s="267"/>
      <c r="F36" s="267"/>
      <c r="G36" s="267"/>
      <c r="H36" s="267"/>
      <c r="I36" s="267"/>
      <c r="J36" s="267"/>
      <c r="K36" s="267"/>
      <c r="L36" s="267"/>
      <c r="M36" s="281"/>
    </row>
    <row r="37" spans="4:13" ht="15" customHeight="1" x14ac:dyDescent="0.2">
      <c r="D37" s="267"/>
      <c r="E37" s="60"/>
      <c r="F37" s="60"/>
      <c r="G37" s="60"/>
      <c r="H37" s="60"/>
      <c r="I37" s="60"/>
      <c r="J37" s="60"/>
      <c r="K37" s="60"/>
      <c r="L37" s="60"/>
      <c r="M37" s="60"/>
    </row>
    <row r="38" spans="4:13" s="60" customFormat="1" ht="15" customHeight="1" x14ac:dyDescent="0.2">
      <c r="D38" s="226" t="s">
        <v>891</v>
      </c>
      <c r="E38" s="771">
        <f ca="1">TODAY()</f>
        <v>45064</v>
      </c>
      <c r="F38" s="772"/>
      <c r="G38" s="60" t="s">
        <v>373</v>
      </c>
    </row>
    <row r="39" spans="4:13" s="60" customFormat="1" ht="15" customHeight="1" x14ac:dyDescent="0.2">
      <c r="D39" s="267"/>
    </row>
    <row r="40" spans="4:13" ht="15" hidden="1" customHeight="1" x14ac:dyDescent="0.2">
      <c r="D40" s="60"/>
      <c r="H40" s="60"/>
      <c r="I40" s="60"/>
      <c r="J40" s="60"/>
      <c r="K40" s="60"/>
    </row>
    <row r="41" spans="4:13" ht="15" hidden="1" customHeight="1" x14ac:dyDescent="0.2"/>
    <row r="42" spans="4:13" ht="15" hidden="1" customHeight="1" x14ac:dyDescent="0.2"/>
    <row r="43" spans="4:13" ht="15" hidden="1" customHeight="1" x14ac:dyDescent="0.2"/>
    <row r="44" spans="4:13" ht="15" hidden="1" customHeight="1" x14ac:dyDescent="0.2"/>
    <row r="45" spans="4:13" ht="15" hidden="1" customHeight="1" x14ac:dyDescent="0.2"/>
    <row r="46" spans="4:13" ht="15" hidden="1" customHeight="1" x14ac:dyDescent="0.2"/>
  </sheetData>
  <sheetProtection algorithmName="SHA-512" hashValue="mKhLjk9AxFfCPLaBZ34F5gmZjY2wwMxdphIGzBpL9yYzZdcwWhERyLzYw7ZkNLzVb1aPhXAuhxhfSdUYFhJYtQ==" saltValue="dNQ97uL+/N3WOkfXdbWlKg==" spinCount="100000" sheet="1" objects="1" scenarios="1" selectLockedCells="1"/>
  <mergeCells count="3">
    <mergeCell ref="E38:F38"/>
    <mergeCell ref="E6:L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360" verticalDpi="36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P63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20.100000000000001" customHeight="1" zeroHeight="1" x14ac:dyDescent="0.2"/>
  <cols>
    <col min="1" max="16" width="9.140625" style="27" customWidth="1"/>
    <col min="17" max="16384" width="9.140625" style="27" hidden="1"/>
  </cols>
  <sheetData>
    <row r="1" spans="1:16" ht="24.95" customHeight="1" x14ac:dyDescent="0.2"/>
    <row r="2" spans="1:16" ht="24.95" customHeight="1" x14ac:dyDescent="0.2"/>
    <row r="3" spans="1:16" ht="24.95" customHeight="1" x14ac:dyDescent="0.2"/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88" t="s">
        <v>1743</v>
      </c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7" spans="1:16" ht="15.75" x14ac:dyDescent="0.2">
      <c r="A7" s="64"/>
      <c r="C7" s="73"/>
      <c r="D7" s="73"/>
      <c r="E7" s="73"/>
      <c r="F7" s="73"/>
      <c r="G7" s="73"/>
      <c r="H7" s="74" t="s">
        <v>2061</v>
      </c>
      <c r="I7" s="74"/>
      <c r="J7" s="73"/>
      <c r="K7" s="73"/>
      <c r="L7" s="73"/>
      <c r="M7" s="73"/>
      <c r="N7" s="73"/>
    </row>
    <row r="8" spans="1:16" ht="24.95" customHeight="1" x14ac:dyDescent="0.2">
      <c r="A8" s="64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6" ht="24.95" customHeight="1" x14ac:dyDescent="0.2">
      <c r="A9" s="64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1:16" ht="24.95" customHeight="1" x14ac:dyDescent="0.2">
      <c r="A10" s="64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1:16" ht="24.95" customHeight="1" x14ac:dyDescent="0.2">
      <c r="A11" s="64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6" ht="24.95" customHeight="1" x14ac:dyDescent="0.2">
      <c r="A12" s="64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1:16" ht="24.95" customHeight="1" x14ac:dyDescent="0.2">
      <c r="A13" s="64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6" ht="24.95" customHeight="1" x14ac:dyDescent="0.2">
      <c r="A14" s="64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6" ht="24.95" customHeight="1" x14ac:dyDescent="0.2">
      <c r="A15" s="64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1:16" ht="24.95" customHeight="1" x14ac:dyDescent="0.2">
      <c r="A16" s="64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pans="1:14" ht="24.95" customHeight="1" x14ac:dyDescent="0.2">
      <c r="A17" s="64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pans="1:14" ht="24.95" customHeight="1" x14ac:dyDescent="0.2">
      <c r="A18" s="6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ht="24.95" customHeight="1" x14ac:dyDescent="0.2">
      <c r="A19" s="64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spans="1:14" ht="24.95" customHeight="1" x14ac:dyDescent="0.2">
      <c r="A20" s="6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 ht="24.95" customHeight="1" x14ac:dyDescent="0.2">
      <c r="A21" s="64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spans="1:14" ht="24.95" customHeight="1" x14ac:dyDescent="0.2">
      <c r="A22" s="64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ht="24.95" customHeight="1" x14ac:dyDescent="0.2">
      <c r="A23" s="64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14" ht="24.95" customHeight="1" x14ac:dyDescent="0.2"/>
    <row r="28" spans="1:14" ht="20.100000000000001" hidden="1" customHeight="1" x14ac:dyDescent="0.2">
      <c r="D28" s="64"/>
      <c r="E28" s="64"/>
      <c r="F28" s="26"/>
      <c r="G28" s="26"/>
      <c r="H28" s="26"/>
      <c r="I28" s="26"/>
      <c r="J28" s="26"/>
      <c r="K28" s="26"/>
    </row>
    <row r="29" spans="1:14" ht="20.100000000000001" hidden="1" customHeight="1" x14ac:dyDescent="0.2">
      <c r="C29" s="65"/>
      <c r="D29" s="65"/>
      <c r="E29" s="65"/>
      <c r="F29" s="26"/>
      <c r="G29" s="26"/>
      <c r="H29" s="26"/>
      <c r="I29" s="26"/>
      <c r="J29" s="26"/>
      <c r="K29" s="26"/>
    </row>
    <row r="61" ht="20.100000000000001" customHeight="1" x14ac:dyDescent="0.2"/>
    <row r="62" ht="20.100000000000001" customHeight="1" x14ac:dyDescent="0.2"/>
    <row r="63" ht="20.100000000000001" customHeight="1" x14ac:dyDescent="0.2"/>
  </sheetData>
  <sheetProtection algorithmName="SHA-512" hashValue="yy534b8x+4K334PqPnkpL1dG6cAve4lh/XkqUv/VEWWexZbdCehrHRepqMnZ3ERl6bw1+D+xjyBof/mUZXsMLA==" saltValue="nuVISKEatOD4pzlx3NweyQ==" spinCount="100000" sheet="1" objects="1" scenarios="1"/>
  <mergeCells count="1">
    <mergeCell ref="C6:N6"/>
  </mergeCells>
  <pageMargins left="0.78740157480314965" right="0.78740157480314965" top="0.78740157480314965" bottom="0.78740157480314965" header="0.51181102362204722" footer="0.51181102362204722"/>
  <pageSetup scale="61" orientation="portrait" horizontalDpi="360" verticalDpi="36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>
    <pageSetUpPr fitToPage="1"/>
  </sheetPr>
  <dimension ref="A1:AB4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2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ht="24.95" customHeight="1" x14ac:dyDescent="0.2">
      <c r="E6" s="699" t="s">
        <v>1936</v>
      </c>
      <c r="F6" s="699"/>
      <c r="G6" s="699"/>
      <c r="H6" s="699"/>
      <c r="I6" s="699"/>
      <c r="J6" s="699"/>
      <c r="K6" s="699"/>
      <c r="L6" s="699"/>
    </row>
    <row r="7" spans="1:26" ht="15" customHeight="1" x14ac:dyDescent="0.2">
      <c r="G7" s="235"/>
      <c r="H7" s="235"/>
      <c r="I7" s="235"/>
      <c r="J7" s="235"/>
      <c r="K7" s="235"/>
      <c r="L7" s="235"/>
    </row>
    <row r="8" spans="1:2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6" ht="15" customHeight="1" x14ac:dyDescent="0.2"/>
    <row r="10" spans="1:26" ht="15" customHeight="1" x14ac:dyDescent="0.2">
      <c r="W10" s="26"/>
      <c r="X10" s="26"/>
      <c r="Y10" s="26"/>
      <c r="Z10" s="26"/>
    </row>
    <row r="11" spans="1:26" ht="15" customHeight="1" x14ac:dyDescent="0.2">
      <c r="D11" s="60" t="s">
        <v>190</v>
      </c>
      <c r="G11" s="237">
        <v>40</v>
      </c>
      <c r="H11" s="266" t="s">
        <v>495</v>
      </c>
      <c r="W11" s="26">
        <f>(100/(G11/100))*100</f>
        <v>25000</v>
      </c>
      <c r="X11" s="171" t="s">
        <v>347</v>
      </c>
      <c r="Y11" s="26"/>
      <c r="Z11" s="26"/>
    </row>
    <row r="12" spans="1:26" ht="15" customHeight="1" x14ac:dyDescent="0.2">
      <c r="D12" s="60"/>
      <c r="G12" s="271"/>
      <c r="H12" s="271"/>
      <c r="W12" s="26"/>
      <c r="X12" s="26"/>
      <c r="Y12" s="26"/>
      <c r="Z12" s="26"/>
    </row>
    <row r="13" spans="1:26" ht="15" customHeight="1" x14ac:dyDescent="0.2">
      <c r="D13" s="60" t="s">
        <v>1703</v>
      </c>
      <c r="G13" s="237">
        <v>8</v>
      </c>
      <c r="H13" s="356" t="s">
        <v>1953</v>
      </c>
      <c r="W13" s="26"/>
      <c r="X13" s="26"/>
      <c r="Y13" s="26"/>
      <c r="Z13" s="26"/>
    </row>
    <row r="14" spans="1:26" ht="15" customHeight="1" x14ac:dyDescent="0.2">
      <c r="D14" s="60"/>
      <c r="G14" s="237">
        <v>150</v>
      </c>
      <c r="H14" s="356" t="s">
        <v>1933</v>
      </c>
      <c r="W14" s="26"/>
      <c r="X14" s="26"/>
      <c r="Y14" s="26"/>
      <c r="Z14" s="26"/>
    </row>
    <row r="15" spans="1:26" ht="15" customHeight="1" x14ac:dyDescent="0.2">
      <c r="D15" s="60"/>
      <c r="G15" s="237">
        <v>9</v>
      </c>
      <c r="H15" s="356" t="s">
        <v>1934</v>
      </c>
      <c r="W15" s="26"/>
      <c r="X15" s="26"/>
      <c r="Y15" s="26"/>
      <c r="Z15" s="26"/>
    </row>
    <row r="16" spans="1:26" ht="15" customHeight="1" x14ac:dyDescent="0.2">
      <c r="D16" s="60"/>
      <c r="G16" s="237">
        <v>20</v>
      </c>
      <c r="H16" s="356" t="s">
        <v>1929</v>
      </c>
      <c r="W16" s="26"/>
      <c r="X16" s="26"/>
      <c r="Y16" s="26"/>
      <c r="Z16" s="26"/>
    </row>
    <row r="17" spans="3:28" ht="15" customHeight="1" x14ac:dyDescent="0.2">
      <c r="D17" s="60"/>
      <c r="G17" s="265"/>
      <c r="H17" s="356"/>
      <c r="W17" s="26"/>
      <c r="X17" s="26"/>
      <c r="Y17" s="26"/>
      <c r="Z17" s="26"/>
    </row>
    <row r="18" spans="3:28" ht="15" customHeight="1" x14ac:dyDescent="0.2">
      <c r="D18" s="60" t="s">
        <v>340</v>
      </c>
      <c r="G18" s="237">
        <v>80</v>
      </c>
      <c r="H18" s="356" t="s">
        <v>341</v>
      </c>
      <c r="W18" s="26"/>
      <c r="X18" s="26"/>
      <c r="Y18" s="26"/>
      <c r="Z18" s="26"/>
    </row>
    <row r="19" spans="3:28" ht="15" customHeight="1" x14ac:dyDescent="0.2">
      <c r="D19" s="265"/>
      <c r="W19" s="26"/>
      <c r="X19" s="26"/>
      <c r="Y19" s="26"/>
      <c r="Z19" s="26"/>
    </row>
    <row r="20" spans="3:28" ht="15" customHeight="1" x14ac:dyDescent="0.25">
      <c r="C20" s="291"/>
      <c r="D20" s="291" t="s">
        <v>371</v>
      </c>
      <c r="E20" s="291"/>
      <c r="F20" s="291"/>
      <c r="G20" s="27"/>
      <c r="W20" s="315">
        <f xml:space="preserve"> G15*(60-G16)/G18</f>
        <v>4.5</v>
      </c>
      <c r="X20" s="26" t="s">
        <v>119</v>
      </c>
      <c r="Y20" s="26"/>
      <c r="Z20" s="26"/>
    </row>
    <row r="21" spans="3:28" ht="15" customHeight="1" x14ac:dyDescent="0.2">
      <c r="D21" s="298" t="s">
        <v>1708</v>
      </c>
      <c r="G21" s="286">
        <f>IF(W20&gt;0,W20,0)</f>
        <v>4.5</v>
      </c>
      <c r="H21" s="300" t="s">
        <v>349</v>
      </c>
      <c r="I21" s="213"/>
      <c r="J21" s="213"/>
      <c r="K21" s="213"/>
      <c r="W21" s="26"/>
      <c r="X21" s="26"/>
      <c r="Y21" s="26"/>
      <c r="Z21" s="26"/>
    </row>
    <row r="22" spans="3:28" ht="15" customHeight="1" x14ac:dyDescent="0.2">
      <c r="D22" s="320"/>
      <c r="W22" s="171">
        <v>75</v>
      </c>
      <c r="X22" s="26" t="s">
        <v>343</v>
      </c>
      <c r="Y22" s="26"/>
      <c r="Z22" s="26"/>
    </row>
    <row r="23" spans="3:28" ht="15" customHeight="1" x14ac:dyDescent="0.2">
      <c r="D23" s="60" t="s">
        <v>1702</v>
      </c>
      <c r="G23" s="224">
        <f>((W22*0.33)/W11)*5000</f>
        <v>4.95</v>
      </c>
      <c r="H23" s="305" t="s">
        <v>559</v>
      </c>
      <c r="J23" s="277" t="str">
        <f>IF(G14&lt;60,"20-00-20",IF(AND(G14&gt;=60,G14&lt;200),"20-00-10","Sultato de Amônio"))</f>
        <v>20-00-10</v>
      </c>
      <c r="W23" s="325" t="str">
        <f>IF(G13&lt;10,"75",IF(AND(G13&gt;=10,G13&lt;20),"50",IF(AND(G13&gt;=20,G13&lt;100),"25",0)))</f>
        <v>75</v>
      </c>
      <c r="X23" s="26" t="s">
        <v>344</v>
      </c>
      <c r="Y23" s="26"/>
      <c r="Z23" s="26"/>
    </row>
    <row r="24" spans="3:28" ht="15" customHeight="1" x14ac:dyDescent="0.2">
      <c r="D24" s="60"/>
      <c r="G24" s="224">
        <f>((W23/W11)*1000)*5</f>
        <v>15</v>
      </c>
      <c r="H24" s="213" t="s">
        <v>1314</v>
      </c>
      <c r="I24" s="303"/>
      <c r="J24" s="218"/>
      <c r="K24" s="271"/>
      <c r="W24" s="26"/>
      <c r="X24" s="26"/>
      <c r="Y24" s="26"/>
      <c r="Z24" s="26"/>
    </row>
    <row r="25" spans="3:28" ht="15" customHeight="1" x14ac:dyDescent="0.2">
      <c r="D25" s="60"/>
      <c r="G25" s="224">
        <f>(40/W11)*1000</f>
        <v>1.6</v>
      </c>
      <c r="H25" s="213" t="s">
        <v>1315</v>
      </c>
      <c r="I25" s="208"/>
      <c r="J25" s="218"/>
      <c r="K25" s="306"/>
      <c r="W25" s="171"/>
      <c r="X25" s="26"/>
      <c r="Y25" s="26"/>
      <c r="Z25" s="26"/>
    </row>
    <row r="26" spans="3:28" ht="15" customHeight="1" x14ac:dyDescent="0.2">
      <c r="D26" s="302"/>
      <c r="W26" s="26"/>
      <c r="X26" s="26"/>
      <c r="Y26" s="26"/>
      <c r="Z26" s="26"/>
    </row>
    <row r="27" spans="3:28" ht="15" customHeight="1" x14ac:dyDescent="0.2">
      <c r="D27" s="60" t="s">
        <v>342</v>
      </c>
      <c r="G27" s="224">
        <f>((W22*0.66)/W11)*5000</f>
        <v>9.9</v>
      </c>
      <c r="H27" s="305" t="s">
        <v>559</v>
      </c>
      <c r="J27" s="277" t="str">
        <f>J23</f>
        <v>20-00-10</v>
      </c>
      <c r="W27" s="26"/>
      <c r="X27" s="26"/>
      <c r="Y27" s="26"/>
      <c r="Z27" s="26"/>
    </row>
    <row r="28" spans="3:28" ht="15" customHeight="1" x14ac:dyDescent="0.2">
      <c r="D28" s="266" t="s">
        <v>381</v>
      </c>
      <c r="H28" s="265"/>
      <c r="I28" s="308"/>
      <c r="Y28" s="26"/>
      <c r="Z28" s="26"/>
      <c r="AA28" s="26"/>
      <c r="AB28" s="26"/>
    </row>
    <row r="29" spans="3:28" ht="15" customHeight="1" x14ac:dyDescent="0.2">
      <c r="D29" s="169"/>
      <c r="Y29" s="26"/>
      <c r="Z29" s="26"/>
      <c r="AA29" s="26"/>
      <c r="AB29" s="26"/>
    </row>
    <row r="30" spans="3:28" ht="15" customHeight="1" x14ac:dyDescent="0.2">
      <c r="D30" s="305"/>
      <c r="Y30" s="26"/>
      <c r="Z30" s="26"/>
      <c r="AA30" s="26"/>
      <c r="AB30" s="26"/>
    </row>
    <row r="31" spans="3:28" s="213" customFormat="1" ht="15" customHeight="1" x14ac:dyDescent="0.2"/>
    <row r="32" spans="3:28" ht="15" customHeight="1" x14ac:dyDescent="0.2"/>
    <row r="33" spans="2:8" ht="15" customHeight="1" x14ac:dyDescent="0.2"/>
    <row r="34" spans="2:8" ht="15" customHeight="1" x14ac:dyDescent="0.2">
      <c r="D34" s="320"/>
      <c r="F34" s="267"/>
      <c r="G34" s="60"/>
      <c r="H34" s="60"/>
    </row>
    <row r="35" spans="2:8" s="60" customFormat="1" ht="15" customHeight="1" x14ac:dyDescent="0.2">
      <c r="D35" s="226" t="s">
        <v>891</v>
      </c>
      <c r="E35" s="771">
        <f ca="1">TODAY()</f>
        <v>45064</v>
      </c>
      <c r="F35" s="772"/>
      <c r="G35" s="60" t="s">
        <v>373</v>
      </c>
    </row>
    <row r="36" spans="2:8" s="60" customFormat="1" ht="15" customHeight="1" x14ac:dyDescent="0.2">
      <c r="D36" s="267"/>
    </row>
    <row r="37" spans="2:8" s="60" customFormat="1" ht="15" hidden="1" customHeight="1" x14ac:dyDescent="0.2">
      <c r="D37" s="267"/>
    </row>
    <row r="38" spans="2:8" s="60" customFormat="1" ht="15" hidden="1" customHeight="1" x14ac:dyDescent="0.2">
      <c r="B38" s="267"/>
    </row>
    <row r="39" spans="2:8" s="60" customFormat="1" ht="15" hidden="1" customHeight="1" x14ac:dyDescent="0.2">
      <c r="B39" s="267"/>
    </row>
    <row r="40" spans="2:8" s="60" customFormat="1" ht="15" hidden="1" customHeight="1" x14ac:dyDescent="0.2">
      <c r="B40" s="267"/>
    </row>
    <row r="41" spans="2:8" s="60" customFormat="1" ht="15" hidden="1" customHeight="1" x14ac:dyDescent="0.2">
      <c r="B41" s="267"/>
    </row>
    <row r="42" spans="2:8" s="60" customFormat="1" ht="15" hidden="1" customHeight="1" x14ac:dyDescent="0.2">
      <c r="B42" s="267"/>
      <c r="G42" s="266"/>
    </row>
    <row r="43" spans="2:8" ht="15" hidden="1" customHeight="1" x14ac:dyDescent="0.2"/>
  </sheetData>
  <sheetProtection algorithmName="SHA-512" hashValue="bvVILcjnCumyRtNisAUmEbZVbC7ablHRTqbYXXbVYXb6PLf+lAx/n58JbmbKFYOnLFor92CnnBX3jtxdO0NCWw==" saltValue="j2oSFyKHFa3EGdL1iZtAkw==" spinCount="100000" sheet="1" objects="1" scenarios="1" selectLockedCells="1"/>
  <mergeCells count="3">
    <mergeCell ref="E6:L6"/>
    <mergeCell ref="E8:M8"/>
    <mergeCell ref="E35:F35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360" verticalDpi="360" r:id="rId1"/>
  <headerFooter alignWithMargins="0"/>
  <colBreaks count="1" manualBreakCount="1">
    <brk id="11" max="1048575" man="1"/>
  </col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>
    <pageSetUpPr fitToPage="1"/>
  </sheetPr>
  <dimension ref="A1:Y4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E6" s="699" t="s">
        <v>1937</v>
      </c>
      <c r="F6" s="699"/>
      <c r="G6" s="699"/>
      <c r="H6" s="699"/>
      <c r="I6" s="699"/>
      <c r="J6" s="699"/>
      <c r="K6" s="699"/>
      <c r="L6" s="699"/>
    </row>
    <row r="7" spans="1:25" ht="15" customHeight="1" x14ac:dyDescent="0.2">
      <c r="G7" s="235"/>
      <c r="H7" s="235"/>
      <c r="I7" s="235"/>
      <c r="J7" s="235"/>
      <c r="K7" s="235"/>
      <c r="L7" s="235"/>
    </row>
    <row r="8" spans="1:25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ht="15" customHeight="1" x14ac:dyDescent="0.25">
      <c r="B9" s="291"/>
      <c r="C9" s="291"/>
      <c r="D9" s="291"/>
      <c r="E9" s="291"/>
      <c r="F9" s="291"/>
      <c r="G9" s="291"/>
      <c r="H9" s="291"/>
      <c r="I9" s="291"/>
    </row>
    <row r="10" spans="1:25" ht="15" customHeight="1" x14ac:dyDescent="0.2"/>
    <row r="11" spans="1:25" ht="15" customHeight="1" x14ac:dyDescent="0.2">
      <c r="D11" s="298" t="s">
        <v>190</v>
      </c>
      <c r="G11" s="237">
        <v>40</v>
      </c>
      <c r="H11" s="49" t="s">
        <v>495</v>
      </c>
      <c r="W11" s="171">
        <f>(100/(G11/100))*100</f>
        <v>25000</v>
      </c>
      <c r="X11" s="171" t="s">
        <v>347</v>
      </c>
      <c r="Y11" s="26"/>
    </row>
    <row r="12" spans="1:25" ht="15" customHeight="1" x14ac:dyDescent="0.2">
      <c r="D12" s="298"/>
      <c r="G12" s="265"/>
      <c r="H12" s="49"/>
      <c r="W12" s="26"/>
      <c r="X12" s="26"/>
      <c r="Y12" s="26"/>
    </row>
    <row r="13" spans="1:25" ht="15" customHeight="1" x14ac:dyDescent="0.2">
      <c r="D13" s="298" t="s">
        <v>1703</v>
      </c>
      <c r="G13" s="237">
        <v>8</v>
      </c>
      <c r="H13" s="49" t="s">
        <v>1953</v>
      </c>
      <c r="W13" s="26"/>
      <c r="X13" s="26"/>
      <c r="Y13" s="26"/>
    </row>
    <row r="14" spans="1:25" ht="15" customHeight="1" x14ac:dyDescent="0.2">
      <c r="D14" s="298"/>
      <c r="G14" s="237">
        <v>150</v>
      </c>
      <c r="H14" s="49" t="s">
        <v>1933</v>
      </c>
      <c r="W14" s="26"/>
      <c r="X14" s="26"/>
      <c r="Y14" s="26"/>
    </row>
    <row r="15" spans="1:25" ht="15" customHeight="1" x14ac:dyDescent="0.2">
      <c r="D15" s="298"/>
      <c r="G15" s="237">
        <v>9</v>
      </c>
      <c r="H15" s="49" t="s">
        <v>1934</v>
      </c>
      <c r="W15" s="26"/>
      <c r="X15" s="26"/>
      <c r="Y15" s="26"/>
    </row>
    <row r="16" spans="1:25" ht="15" customHeight="1" x14ac:dyDescent="0.2">
      <c r="D16" s="298"/>
      <c r="G16" s="237">
        <v>20</v>
      </c>
      <c r="H16" s="49" t="s">
        <v>1929</v>
      </c>
      <c r="W16" s="26"/>
      <c r="X16" s="26"/>
      <c r="Y16" s="26"/>
    </row>
    <row r="17" spans="3:25" ht="15" customHeight="1" x14ac:dyDescent="0.2">
      <c r="D17" s="298"/>
      <c r="G17" s="265"/>
      <c r="H17" s="49"/>
      <c r="W17" s="26"/>
      <c r="X17" s="26"/>
      <c r="Y17" s="26"/>
    </row>
    <row r="18" spans="3:25" ht="15" customHeight="1" x14ac:dyDescent="0.2">
      <c r="D18" s="298" t="s">
        <v>340</v>
      </c>
      <c r="G18" s="237">
        <v>80</v>
      </c>
      <c r="H18" s="49" t="s">
        <v>341</v>
      </c>
      <c r="W18" s="26"/>
      <c r="X18" s="26"/>
      <c r="Y18" s="26"/>
    </row>
    <row r="19" spans="3:25" ht="15" customHeight="1" x14ac:dyDescent="0.2">
      <c r="D19" s="265"/>
      <c r="H19" s="49"/>
      <c r="W19" s="26"/>
      <c r="X19" s="26"/>
      <c r="Y19" s="26"/>
    </row>
    <row r="20" spans="3:25" ht="15" customHeight="1" x14ac:dyDescent="0.25">
      <c r="C20" s="291"/>
      <c r="D20" s="291" t="s">
        <v>371</v>
      </c>
      <c r="E20" s="291"/>
      <c r="F20" s="291"/>
      <c r="G20" s="27"/>
      <c r="H20" s="49"/>
      <c r="W20" s="26"/>
      <c r="X20" s="26"/>
      <c r="Y20" s="26"/>
    </row>
    <row r="21" spans="3:25" ht="15" customHeight="1" x14ac:dyDescent="0.2">
      <c r="D21" s="294" t="s">
        <v>348</v>
      </c>
      <c r="G21" s="286">
        <f>IF(W21&gt;0,W21,0)</f>
        <v>3.375</v>
      </c>
      <c r="H21" s="300" t="s">
        <v>349</v>
      </c>
      <c r="I21" s="303"/>
      <c r="J21" s="213"/>
      <c r="K21" s="213"/>
      <c r="W21" s="315">
        <f xml:space="preserve"> G15*(50-G16)/G18</f>
        <v>3.375</v>
      </c>
      <c r="X21" s="26" t="s">
        <v>119</v>
      </c>
      <c r="Y21" s="26"/>
    </row>
    <row r="22" spans="3:25" ht="15" customHeight="1" x14ac:dyDescent="0.2">
      <c r="D22" s="60"/>
      <c r="G22" s="222"/>
      <c r="X22" s="26"/>
      <c r="Y22" s="26"/>
    </row>
    <row r="23" spans="3:25" ht="15" customHeight="1" x14ac:dyDescent="0.2">
      <c r="D23" s="60" t="s">
        <v>1702</v>
      </c>
      <c r="G23" s="224">
        <f>((W24*0.27)/W11)*5000</f>
        <v>5.4</v>
      </c>
      <c r="H23" s="170" t="s">
        <v>559</v>
      </c>
      <c r="J23" s="320" t="str">
        <f>IF(G14&lt;60,"20-00-20",IF(AND(G14&gt;=60,G14&lt;200),"20-00-10","Sultato de Amônio"))</f>
        <v>20-00-10</v>
      </c>
      <c r="Y23" s="26"/>
    </row>
    <row r="24" spans="3:25" ht="15" customHeight="1" x14ac:dyDescent="0.2">
      <c r="D24" s="60"/>
      <c r="G24" s="224">
        <f>((W25/W11)*1000)*5</f>
        <v>18</v>
      </c>
      <c r="H24" s="213" t="s">
        <v>1314</v>
      </c>
      <c r="I24" s="303"/>
      <c r="J24" s="271"/>
      <c r="W24" s="171">
        <v>100</v>
      </c>
      <c r="X24" s="26" t="s">
        <v>343</v>
      </c>
      <c r="Y24" s="26"/>
    </row>
    <row r="25" spans="3:25" ht="15" customHeight="1" x14ac:dyDescent="0.2">
      <c r="D25" s="60"/>
      <c r="G25" s="224">
        <f>(40/W11)*1000</f>
        <v>1.6</v>
      </c>
      <c r="H25" s="213" t="s">
        <v>1315</v>
      </c>
      <c r="I25" s="208"/>
      <c r="J25" s="27"/>
      <c r="K25" s="263"/>
      <c r="W25" s="325" t="str">
        <f>IF(G13&lt;10,"90",IF(AND(G13&gt;=10,G13&lt;20),"60",IF(AND(G13&gt;=20,G13&lt;100),"30",0)))</f>
        <v>90</v>
      </c>
      <c r="X25" s="26" t="s">
        <v>344</v>
      </c>
      <c r="Y25" s="26"/>
    </row>
    <row r="26" spans="3:25" ht="15" customHeight="1" x14ac:dyDescent="0.2">
      <c r="D26" s="60"/>
      <c r="G26" s="289"/>
      <c r="H26" s="271"/>
      <c r="I26" s="297"/>
    </row>
    <row r="27" spans="3:25" ht="15" customHeight="1" x14ac:dyDescent="0.2">
      <c r="D27" s="60" t="s">
        <v>1319</v>
      </c>
      <c r="G27" s="224">
        <f>((W24*0.5)/W11)*5000</f>
        <v>10</v>
      </c>
      <c r="H27" s="170" t="s">
        <v>559</v>
      </c>
      <c r="J27" s="277" t="str">
        <f>J23</f>
        <v>20-00-10</v>
      </c>
    </row>
    <row r="28" spans="3:25" ht="15" customHeight="1" x14ac:dyDescent="0.2">
      <c r="D28" s="60" t="s">
        <v>1320</v>
      </c>
      <c r="G28" s="224">
        <f>((W24*0.5)/W11)*5000</f>
        <v>10</v>
      </c>
      <c r="H28" s="170" t="s">
        <v>559</v>
      </c>
      <c r="J28" s="277" t="str">
        <f>J23</f>
        <v>20-00-10</v>
      </c>
    </row>
    <row r="29" spans="3:25" ht="15" customHeight="1" x14ac:dyDescent="0.2">
      <c r="D29" s="224"/>
      <c r="F29" s="222"/>
      <c r="G29" s="308"/>
    </row>
    <row r="30" spans="3:25" ht="15" customHeight="1" x14ac:dyDescent="0.2">
      <c r="D30" s="169"/>
      <c r="H30" s="265"/>
      <c r="I30" s="308"/>
    </row>
    <row r="31" spans="3:25" ht="15" customHeight="1" x14ac:dyDescent="0.2">
      <c r="H31" s="265"/>
      <c r="I31" s="308"/>
    </row>
    <row r="32" spans="3:25" ht="15" customHeight="1" x14ac:dyDescent="0.2">
      <c r="H32" s="265"/>
      <c r="I32" s="308"/>
    </row>
    <row r="33" spans="2:7" ht="15" customHeight="1" x14ac:dyDescent="0.2"/>
    <row r="34" spans="2:7" ht="15" customHeight="1" x14ac:dyDescent="0.2"/>
    <row r="35" spans="2:7" ht="15" customHeight="1" x14ac:dyDescent="0.2"/>
    <row r="36" spans="2:7" ht="15" customHeight="1" x14ac:dyDescent="0.2"/>
    <row r="37" spans="2:7" ht="15" customHeight="1" x14ac:dyDescent="0.2"/>
    <row r="38" spans="2:7" s="60" customFormat="1" ht="15" customHeight="1" x14ac:dyDescent="0.2">
      <c r="D38" s="226" t="s">
        <v>891</v>
      </c>
      <c r="E38" s="771">
        <f ca="1">TODAY()</f>
        <v>45064</v>
      </c>
      <c r="F38" s="772"/>
      <c r="G38" s="60" t="s">
        <v>373</v>
      </c>
    </row>
    <row r="39" spans="2:7" s="60" customFormat="1" ht="15" customHeight="1" x14ac:dyDescent="0.2">
      <c r="D39" s="267"/>
    </row>
    <row r="40" spans="2:7" s="60" customFormat="1" ht="15" hidden="1" customHeight="1" x14ac:dyDescent="0.2">
      <c r="B40" s="267"/>
    </row>
    <row r="41" spans="2:7" s="60" customFormat="1" ht="15" hidden="1" customHeight="1" x14ac:dyDescent="0.2">
      <c r="B41" s="267"/>
    </row>
    <row r="42" spans="2:7" s="60" customFormat="1" ht="15" hidden="1" customHeight="1" x14ac:dyDescent="0.2">
      <c r="B42" s="267"/>
    </row>
    <row r="43" spans="2:7" s="60" customFormat="1" ht="15" hidden="1" customHeight="1" x14ac:dyDescent="0.2">
      <c r="B43" s="267"/>
    </row>
    <row r="44" spans="2:7" s="60" customFormat="1" ht="15" hidden="1" customHeight="1" x14ac:dyDescent="0.2">
      <c r="B44" s="267"/>
    </row>
    <row r="45" spans="2:7" s="60" customFormat="1" ht="15" hidden="1" customHeight="1" x14ac:dyDescent="0.2">
      <c r="B45" s="267"/>
      <c r="G45" s="266"/>
    </row>
  </sheetData>
  <sheetProtection algorithmName="SHA-512" hashValue="g6GHkYaFVo6Rdao6pvmiR7Uqhk1//YGb08CGWZtFjW7bXXAKfUwESmz3ED6lp9cVfaIYI1jtm2akQja37Fhspw==" saltValue="dSAjnNTnTcnFAL7P6yA22Q==" spinCount="100000" sheet="1" objects="1" scenarios="1" selectLockedCells="1"/>
  <mergeCells count="3">
    <mergeCell ref="E6:L6"/>
    <mergeCell ref="E8:M8"/>
    <mergeCell ref="E38:F3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360" verticalDpi="360" r:id="rId1"/>
  <headerFooter alignWithMargins="0"/>
  <colBreaks count="1" manualBreakCount="1">
    <brk id="11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>
    <pageSetUpPr fitToPage="1"/>
  </sheetPr>
  <dimension ref="A1:P20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6" width="9" style="266" customWidth="1"/>
    <col min="17" max="16384" width="9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s="35" customFormat="1" ht="24.95" customHeight="1" x14ac:dyDescent="0.3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s="35" customFormat="1" ht="24.95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s="35" customFormat="1" ht="15" customHeight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35" customFormat="1" ht="24.95" customHeight="1" x14ac:dyDescent="0.35">
      <c r="A6" s="266"/>
      <c r="B6" s="266"/>
      <c r="C6" s="699" t="s">
        <v>1918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266"/>
      <c r="P6" s="266"/>
    </row>
    <row r="7" spans="1:16" s="35" customFormat="1" ht="15" customHeight="1" thickBot="1" x14ac:dyDescent="0.4"/>
    <row r="8" spans="1:16" s="32" customFormat="1" ht="24.95" customHeight="1" thickTop="1" thickBot="1" x14ac:dyDescent="0.4">
      <c r="B8" s="35"/>
      <c r="D8" s="58"/>
      <c r="F8" s="711" t="str">
        <f>HYPERLINK("#"&amp;"'BananaPlan'!h1","Plantio")</f>
        <v>Plantio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HYPERLINK("#"&amp;"'BananaIrrig'!h1","Produção Irrigada")</f>
        <v>Produção Irrigada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HYPERLINK("#"&amp;"'BananaNao'!h1","Produção Não Irrigada")</f>
        <v>Produção Não Irrigada</v>
      </c>
      <c r="G10" s="711"/>
      <c r="H10" s="711"/>
      <c r="I10" s="711"/>
      <c r="J10" s="711"/>
    </row>
    <row r="11" spans="1:16" ht="15" customHeight="1" thickTop="1" x14ac:dyDescent="0.2">
      <c r="C11" s="42"/>
    </row>
    <row r="12" spans="1:16" s="34" customFormat="1" ht="15" customHeight="1" x14ac:dyDescent="0.2"/>
    <row r="13" spans="1:16" s="34" customFormat="1" ht="15" customHeight="1" x14ac:dyDescent="0.2"/>
    <row r="14" spans="1:16" s="34" customFormat="1" ht="15" customHeight="1" x14ac:dyDescent="0.2">
      <c r="E14" s="59"/>
      <c r="H14" s="43"/>
    </row>
    <row r="15" spans="1:16" s="34" customFormat="1" ht="15" customHeight="1" x14ac:dyDescent="0.2">
      <c r="H15" s="43"/>
    </row>
    <row r="16" spans="1:16" s="34" customFormat="1" ht="15" hidden="1" customHeight="1" x14ac:dyDescent="0.2">
      <c r="C16" s="54"/>
      <c r="D16" s="54"/>
      <c r="H16" s="43"/>
    </row>
    <row r="17" spans="2:8" s="34" customFormat="1" ht="15" hidden="1" customHeight="1" x14ac:dyDescent="0.2">
      <c r="B17" s="266"/>
      <c r="H17" s="43"/>
    </row>
    <row r="18" spans="2:8" s="34" customFormat="1" ht="15" hidden="1" customHeight="1" x14ac:dyDescent="0.2">
      <c r="B18" s="266"/>
      <c r="C18" s="266"/>
      <c r="D18" s="266"/>
      <c r="E18" s="266"/>
      <c r="H18" s="43"/>
    </row>
    <row r="19" spans="2:8" s="34" customFormat="1" ht="15" hidden="1" customHeight="1" x14ac:dyDescent="0.2">
      <c r="B19" s="266"/>
      <c r="C19" s="266"/>
      <c r="D19" s="266"/>
      <c r="E19" s="266"/>
      <c r="H19" s="43"/>
    </row>
    <row r="20" spans="2:8" s="34" customFormat="1" ht="15" hidden="1" customHeight="1" x14ac:dyDescent="0.2">
      <c r="B20" s="266"/>
      <c r="C20" s="266"/>
      <c r="D20" s="266"/>
      <c r="E20" s="266"/>
    </row>
  </sheetData>
  <sheetProtection algorithmName="SHA-512" hashValue="BsosXt8zJdG/4DwE1y/DcKpxCOHkKbJYm8fVTBki5CQOgykqeGEKUMM3Pu5VvuZRXrq104kU+a/TL5I8qlG5+w==" saltValue="oaAPvuL0LZwbyEjgKQ8P4Q==" spinCount="100000" sheet="1" objects="1" scenarios="1"/>
  <mergeCells count="4">
    <mergeCell ref="F8:J8"/>
    <mergeCell ref="F9:J9"/>
    <mergeCell ref="F10:J10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>
    <pageSetUpPr fitToPage="1"/>
  </sheetPr>
  <dimension ref="A1:X5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D6" s="699" t="s">
        <v>1939</v>
      </c>
      <c r="E6" s="699"/>
      <c r="F6" s="699"/>
      <c r="G6" s="699"/>
      <c r="H6" s="699"/>
      <c r="I6" s="699"/>
      <c r="J6" s="699"/>
      <c r="K6" s="699"/>
      <c r="L6" s="699"/>
      <c r="M6" s="699"/>
    </row>
    <row r="7" spans="1:24" ht="15" customHeight="1" x14ac:dyDescent="0.2">
      <c r="G7" s="235"/>
      <c r="H7" s="235"/>
      <c r="I7" s="235"/>
      <c r="J7" s="235"/>
      <c r="K7" s="235"/>
      <c r="L7" s="235"/>
    </row>
    <row r="8" spans="1:24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4" ht="15" customHeight="1" x14ac:dyDescent="0.25">
      <c r="B9" s="486"/>
      <c r="C9" s="486"/>
      <c r="D9" s="486"/>
      <c r="E9" s="486"/>
      <c r="F9" s="486"/>
      <c r="G9" s="486"/>
      <c r="H9" s="486"/>
      <c r="I9" s="486"/>
      <c r="J9" s="486"/>
    </row>
    <row r="10" spans="1:24" ht="15" customHeight="1" x14ac:dyDescent="0.2"/>
    <row r="11" spans="1:24" ht="15" customHeight="1" x14ac:dyDescent="0.2">
      <c r="D11" s="60" t="s">
        <v>671</v>
      </c>
      <c r="G11" s="237">
        <v>3</v>
      </c>
      <c r="H11" s="298" t="s">
        <v>2070</v>
      </c>
      <c r="I11" s="237">
        <v>3</v>
      </c>
      <c r="J11" s="298" t="s">
        <v>2069</v>
      </c>
      <c r="K11" s="288">
        <f>10000/(G11*I11)</f>
        <v>1111.1111111111111</v>
      </c>
      <c r="L11" s="281" t="s">
        <v>353</v>
      </c>
    </row>
    <row r="12" spans="1:24" ht="15" customHeight="1" x14ac:dyDescent="0.2">
      <c r="D12" s="294" t="s">
        <v>656</v>
      </c>
      <c r="G12" s="5">
        <v>40</v>
      </c>
      <c r="H12" s="298" t="s">
        <v>2280</v>
      </c>
      <c r="I12" s="5">
        <v>40</v>
      </c>
      <c r="J12" s="298" t="s">
        <v>2280</v>
      </c>
      <c r="K12" s="5">
        <v>40</v>
      </c>
      <c r="L12" s="49" t="s">
        <v>495</v>
      </c>
      <c r="W12" s="256">
        <f>(G12*I12*K12)/1000</f>
        <v>64</v>
      </c>
      <c r="X12" s="49" t="s">
        <v>662</v>
      </c>
    </row>
    <row r="13" spans="1:24" ht="15" customHeight="1" x14ac:dyDescent="0.2">
      <c r="D13" s="213"/>
      <c r="E13" s="213"/>
      <c r="F13" s="208"/>
      <c r="G13" s="208"/>
      <c r="H13" s="208"/>
      <c r="I13" s="265"/>
    </row>
    <row r="14" spans="1:24" ht="15" customHeight="1" x14ac:dyDescent="0.2">
      <c r="D14" s="170" t="s">
        <v>1703</v>
      </c>
      <c r="E14" s="34"/>
      <c r="F14" s="317" t="s">
        <v>657</v>
      </c>
      <c r="G14" s="5">
        <v>2</v>
      </c>
      <c r="H14" s="273" t="s">
        <v>278</v>
      </c>
    </row>
    <row r="15" spans="1:24" ht="15" customHeight="1" x14ac:dyDescent="0.2">
      <c r="F15" s="317" t="s">
        <v>658</v>
      </c>
      <c r="G15" s="5">
        <v>120</v>
      </c>
      <c r="H15" s="273" t="s">
        <v>278</v>
      </c>
    </row>
    <row r="16" spans="1:24" ht="15" customHeight="1" x14ac:dyDescent="0.2">
      <c r="D16" s="275"/>
      <c r="F16" s="317" t="s">
        <v>1707</v>
      </c>
      <c r="G16" s="5">
        <v>2</v>
      </c>
      <c r="H16" s="273" t="s">
        <v>341</v>
      </c>
    </row>
    <row r="17" spans="4:24" ht="15" customHeight="1" x14ac:dyDescent="0.2">
      <c r="D17" s="275"/>
      <c r="F17" s="317" t="s">
        <v>562</v>
      </c>
      <c r="G17" s="237">
        <v>30</v>
      </c>
      <c r="H17" s="49" t="s">
        <v>341</v>
      </c>
    </row>
    <row r="18" spans="4:24" ht="15" customHeight="1" x14ac:dyDescent="0.3">
      <c r="D18" s="275"/>
      <c r="F18" s="317" t="s">
        <v>564</v>
      </c>
      <c r="G18" s="5">
        <v>8</v>
      </c>
      <c r="H18" s="49" t="s">
        <v>1784</v>
      </c>
      <c r="N18" s="49"/>
    </row>
    <row r="19" spans="4:24" ht="15" customHeight="1" x14ac:dyDescent="0.2">
      <c r="D19" s="275"/>
      <c r="F19" s="317"/>
      <c r="G19" s="208"/>
      <c r="H19" s="49"/>
      <c r="N19" s="49"/>
    </row>
    <row r="20" spans="4:24" ht="15" customHeight="1" x14ac:dyDescent="0.2">
      <c r="D20" s="273" t="s">
        <v>340</v>
      </c>
      <c r="G20" s="237">
        <v>90</v>
      </c>
      <c r="H20" s="49" t="s">
        <v>563</v>
      </c>
      <c r="N20" s="49"/>
    </row>
    <row r="21" spans="4:24" ht="15" customHeight="1" x14ac:dyDescent="0.2">
      <c r="D21" s="275"/>
      <c r="N21" s="49"/>
    </row>
    <row r="22" spans="4:24" ht="15" customHeight="1" x14ac:dyDescent="0.25">
      <c r="D22" s="291" t="s">
        <v>371</v>
      </c>
      <c r="N22" s="49"/>
    </row>
    <row r="23" spans="4:24" ht="15" customHeight="1" x14ac:dyDescent="0.2">
      <c r="D23" s="302" t="s">
        <v>668</v>
      </c>
      <c r="F23" s="257">
        <f>W23</f>
        <v>10</v>
      </c>
      <c r="G23" s="266" t="s">
        <v>663</v>
      </c>
      <c r="W23" s="256">
        <f>IF(G16&lt;1,15,IF(AND(G16&gt;=1,G16&lt;3),10,IF(AND(G16&gt;=3,G16&lt;5),7,5)))</f>
        <v>10</v>
      </c>
      <c r="X23" s="49" t="s">
        <v>667</v>
      </c>
    </row>
    <row r="24" spans="4:24" ht="15" customHeight="1" x14ac:dyDescent="0.2">
      <c r="F24" s="276">
        <f>W25</f>
        <v>287.03999999999996</v>
      </c>
      <c r="G24" s="266" t="s">
        <v>659</v>
      </c>
      <c r="N24" s="49"/>
      <c r="W24" s="350">
        <f>((((80-G14)/0.2)*W12)/1000)*2.3*5</f>
        <v>287.03999999999996</v>
      </c>
      <c r="X24" s="49" t="s">
        <v>664</v>
      </c>
    </row>
    <row r="25" spans="4:24" ht="15" customHeight="1" x14ac:dyDescent="0.2">
      <c r="F25" s="276">
        <f>W28</f>
        <v>142.22222222222223</v>
      </c>
      <c r="G25" s="266" t="s">
        <v>660</v>
      </c>
      <c r="N25" s="49"/>
      <c r="W25" s="310">
        <f>IF(W24&gt;0,W24,0)</f>
        <v>287.03999999999996</v>
      </c>
      <c r="X25" s="266" t="s">
        <v>799</v>
      </c>
    </row>
    <row r="26" spans="4:24" ht="15" customHeight="1" x14ac:dyDescent="0.2">
      <c r="F26" s="257">
        <v>20</v>
      </c>
      <c r="G26" s="266" t="s">
        <v>661</v>
      </c>
      <c r="N26" s="49"/>
      <c r="W26" s="353">
        <f>((80-G17)*G18)/G20</f>
        <v>4.4444444444444446</v>
      </c>
      <c r="X26" s="49" t="s">
        <v>665</v>
      </c>
    </row>
    <row r="27" spans="4:24" ht="15" customHeight="1" x14ac:dyDescent="0.2">
      <c r="E27" s="257"/>
      <c r="W27" s="350">
        <f>(W26/2)*W12</f>
        <v>142.22222222222223</v>
      </c>
      <c r="X27" s="49" t="s">
        <v>666</v>
      </c>
    </row>
    <row r="28" spans="4:24" ht="15" customHeight="1" x14ac:dyDescent="0.2">
      <c r="D28" s="169" t="s">
        <v>573</v>
      </c>
      <c r="F28" s="286">
        <f>IF(W29&gt;0,W29,0)</f>
        <v>4.4444444444444446</v>
      </c>
      <c r="G28" s="266" t="s">
        <v>1143</v>
      </c>
      <c r="W28" s="350">
        <f>IF(W27&gt;0,W27,0)</f>
        <v>142.22222222222223</v>
      </c>
      <c r="X28" s="49" t="s">
        <v>800</v>
      </c>
    </row>
    <row r="29" spans="4:24" ht="15" customHeight="1" x14ac:dyDescent="0.2">
      <c r="W29" s="396">
        <f>((80-G17)*G18)/G20</f>
        <v>4.4444444444444446</v>
      </c>
      <c r="X29" s="266" t="s">
        <v>1130</v>
      </c>
    </row>
    <row r="30" spans="4:24" ht="15" customHeight="1" x14ac:dyDescent="0.2">
      <c r="D30" s="49" t="s">
        <v>1920</v>
      </c>
    </row>
    <row r="31" spans="4:24" ht="15" customHeight="1" x14ac:dyDescent="0.2">
      <c r="E31" s="49" t="s">
        <v>1704</v>
      </c>
      <c r="I31" s="478" t="str">
        <f>IF(G15&lt;60,"20-00-30",IF(AND(G15&gt;=60,G15&lt;150),"20-00-20",IF(AND(G15&gt;=150,G15&lt;300),"20-00-15",IF(AND(G15&gt;=300,G15&lt;500),"20-00-10","Sultato de Amônio"))))</f>
        <v>20-00-20</v>
      </c>
    </row>
    <row r="32" spans="4:24" ht="15" customHeight="1" x14ac:dyDescent="0.2">
      <c r="E32" s="49" t="s">
        <v>1705</v>
      </c>
      <c r="H32" s="169" t="str">
        <f>I31</f>
        <v>20-00-20</v>
      </c>
    </row>
    <row r="33" spans="2:13" ht="15" customHeight="1" x14ac:dyDescent="0.2">
      <c r="E33" s="49" t="s">
        <v>1706</v>
      </c>
      <c r="J33" s="169" t="str">
        <f>I31</f>
        <v>20-00-20</v>
      </c>
    </row>
    <row r="34" spans="2:13" ht="15" customHeight="1" x14ac:dyDescent="0.2"/>
    <row r="35" spans="2:13" ht="15" customHeight="1" x14ac:dyDescent="0.2">
      <c r="C35" s="60"/>
      <c r="D35" s="277"/>
      <c r="E35" s="224"/>
      <c r="F35" s="280"/>
    </row>
    <row r="36" spans="2:13" s="60" customFormat="1" ht="15" customHeight="1" x14ac:dyDescent="0.2">
      <c r="C36" s="281"/>
      <c r="D36" s="275"/>
      <c r="E36" s="277"/>
      <c r="F36" s="275"/>
      <c r="G36" s="281"/>
      <c r="H36" s="281"/>
      <c r="I36" s="281"/>
      <c r="J36" s="281"/>
      <c r="K36" s="281"/>
      <c r="L36" s="266"/>
      <c r="M36" s="266"/>
    </row>
    <row r="37" spans="2:13" s="281" customFormat="1" ht="15" customHeight="1" x14ac:dyDescent="0.2">
      <c r="D37" s="275"/>
      <c r="E37" s="277"/>
      <c r="F37" s="275"/>
    </row>
    <row r="38" spans="2:13" s="281" customFormat="1" ht="15" customHeight="1" x14ac:dyDescent="0.2">
      <c r="C38" s="60"/>
      <c r="D38" s="275"/>
      <c r="E38" s="224"/>
      <c r="F38" s="280"/>
      <c r="G38" s="266"/>
      <c r="H38" s="266"/>
      <c r="I38" s="266"/>
      <c r="J38" s="266"/>
      <c r="K38" s="266"/>
    </row>
    <row r="39" spans="2:13" s="60" customFormat="1" ht="15" customHeight="1" x14ac:dyDescent="0.2">
      <c r="C39" s="266"/>
      <c r="D39" s="275"/>
      <c r="E39" s="220"/>
      <c r="F39" s="280"/>
      <c r="G39" s="281"/>
      <c r="H39" s="281"/>
      <c r="I39" s="281"/>
      <c r="J39" s="281"/>
      <c r="K39" s="281"/>
      <c r="L39" s="266"/>
      <c r="M39" s="266"/>
    </row>
    <row r="40" spans="2:13" ht="15" customHeight="1" x14ac:dyDescent="0.2">
      <c r="C40" s="60"/>
      <c r="D40" s="226" t="s">
        <v>891</v>
      </c>
      <c r="E40" s="771">
        <f ca="1">TODAY()</f>
        <v>45064</v>
      </c>
      <c r="F40" s="772"/>
      <c r="G40" s="60" t="s">
        <v>373</v>
      </c>
      <c r="H40" s="60"/>
      <c r="I40" s="60"/>
      <c r="J40" s="60"/>
      <c r="K40" s="60"/>
    </row>
    <row r="41" spans="2:13" s="60" customFormat="1" ht="15" customHeight="1" x14ac:dyDescent="0.2">
      <c r="D41" s="267"/>
    </row>
    <row r="42" spans="2:13" s="60" customFormat="1" ht="15" hidden="1" customHeight="1" x14ac:dyDescent="0.2">
      <c r="D42" s="267"/>
    </row>
    <row r="43" spans="2:13" s="60" customFormat="1" ht="15" hidden="1" customHeight="1" x14ac:dyDescent="0.2">
      <c r="D43" s="267"/>
    </row>
    <row r="44" spans="2:13" s="60" customFormat="1" ht="15" hidden="1" customHeight="1" x14ac:dyDescent="0.2">
      <c r="D44" s="267"/>
    </row>
    <row r="45" spans="2:13" s="60" customFormat="1" ht="15" hidden="1" customHeight="1" x14ac:dyDescent="0.2">
      <c r="D45" s="267"/>
    </row>
    <row r="46" spans="2:13" s="60" customFormat="1" ht="15" hidden="1" customHeight="1" x14ac:dyDescent="0.2">
      <c r="B46" s="267"/>
    </row>
    <row r="47" spans="2:13" s="60" customFormat="1" ht="15" hidden="1" customHeight="1" x14ac:dyDescent="0.2">
      <c r="B47" s="267"/>
    </row>
    <row r="48" spans="2:13" s="60" customFormat="1" ht="15" hidden="1" customHeight="1" x14ac:dyDescent="0.2">
      <c r="B48" s="267"/>
      <c r="G48" s="266"/>
    </row>
    <row r="49" spans="1:9" s="60" customFormat="1" ht="15" hidden="1" customHeight="1" x14ac:dyDescent="0.2">
      <c r="A49" s="266"/>
      <c r="B49" s="266"/>
      <c r="C49" s="267"/>
      <c r="D49" s="267"/>
      <c r="G49" s="266"/>
      <c r="H49" s="266"/>
      <c r="I49" s="266"/>
    </row>
    <row r="50" spans="1:9" ht="15" hidden="1" customHeight="1" x14ac:dyDescent="0.2"/>
    <row r="51" spans="1:9" ht="15" customHeight="1" x14ac:dyDescent="0.2"/>
    <row r="52" spans="1:9" ht="15" customHeight="1" x14ac:dyDescent="0.2"/>
    <row r="53" spans="1:9" ht="15" customHeight="1" x14ac:dyDescent="0.2"/>
  </sheetData>
  <sheetProtection algorithmName="SHA-512" hashValue="DBjGQhnwenVXuECXKOWen9/VOAV0kAfI69owk/ywAM+EVLs2dxljiQE1bcsNT1TyWKzNgdRG+Qf+uMdYO7CVzQ==" saltValue="PC6Vuf0Jz/rV22sr0ctu9w==" spinCount="100000" sheet="1" objects="1" scenarios="1" selectLockedCells="1"/>
  <mergeCells count="3">
    <mergeCell ref="E8:M8"/>
    <mergeCell ref="D6:M6"/>
    <mergeCell ref="E40:F40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>
    <pageSetUpPr fitToPage="1"/>
  </sheetPr>
  <dimension ref="A1:AB58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8" width="0" style="266" hidden="1" customWidth="1"/>
    <col min="29" max="16384" width="9.140625" style="266" hidden="1"/>
  </cols>
  <sheetData>
    <row r="1" spans="1:2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7" ht="24.95" customHeight="1" x14ac:dyDescent="0.2">
      <c r="E6" s="699" t="s">
        <v>1921</v>
      </c>
      <c r="F6" s="699"/>
      <c r="G6" s="699"/>
      <c r="H6" s="699"/>
      <c r="I6" s="699"/>
      <c r="J6" s="699"/>
      <c r="K6" s="699"/>
      <c r="L6" s="699"/>
    </row>
    <row r="7" spans="1:27" ht="15" customHeight="1" x14ac:dyDescent="0.2">
      <c r="G7" s="235"/>
      <c r="H7" s="235"/>
      <c r="I7" s="235"/>
      <c r="J7" s="235"/>
      <c r="K7" s="235"/>
      <c r="L7" s="235"/>
      <c r="W7" s="27"/>
      <c r="X7" s="27"/>
      <c r="Y7" s="27"/>
      <c r="Z7" s="27"/>
    </row>
    <row r="8" spans="1:27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Q8" s="33"/>
      <c r="R8" s="207"/>
      <c r="S8" s="207"/>
      <c r="W8" s="27"/>
      <c r="X8" s="27"/>
      <c r="Y8" s="27"/>
      <c r="Z8" s="27"/>
    </row>
    <row r="9" spans="1:27" ht="15" customHeight="1" x14ac:dyDescent="0.2">
      <c r="V9" s="49"/>
      <c r="W9" s="26"/>
      <c r="X9" s="26"/>
      <c r="Y9" s="26"/>
      <c r="Z9" s="26"/>
      <c r="AA9" s="49"/>
    </row>
    <row r="10" spans="1:27" ht="15" customHeight="1" x14ac:dyDescent="0.2">
      <c r="D10" s="60" t="s">
        <v>671</v>
      </c>
      <c r="F10" s="237">
        <v>3</v>
      </c>
      <c r="G10" s="298" t="s">
        <v>2070</v>
      </c>
      <c r="H10" s="237">
        <v>3</v>
      </c>
      <c r="I10" s="298" t="s">
        <v>2069</v>
      </c>
      <c r="J10" s="288">
        <f>10000/(F10*H10)</f>
        <v>1111.1111111111111</v>
      </c>
      <c r="K10" s="281" t="s">
        <v>353</v>
      </c>
      <c r="V10" s="49"/>
      <c r="W10" s="26"/>
      <c r="X10" s="26"/>
      <c r="Y10" s="26"/>
      <c r="Z10" s="26"/>
      <c r="AA10" s="49"/>
    </row>
    <row r="11" spans="1:27" ht="15" customHeight="1" x14ac:dyDescent="0.2">
      <c r="D11" s="60" t="s">
        <v>1142</v>
      </c>
      <c r="G11" s="237">
        <v>5000</v>
      </c>
      <c r="I11" s="265" t="s">
        <v>672</v>
      </c>
      <c r="J11" s="396">
        <f>G11/J10</f>
        <v>4.5</v>
      </c>
      <c r="K11" s="266" t="s">
        <v>575</v>
      </c>
      <c r="V11" s="49"/>
      <c r="W11" s="26"/>
      <c r="X11" s="26"/>
      <c r="Y11" s="26"/>
      <c r="Z11" s="26"/>
      <c r="AA11" s="49"/>
    </row>
    <row r="12" spans="1:27" ht="15" customHeight="1" x14ac:dyDescent="0.2">
      <c r="D12" s="60" t="s">
        <v>833</v>
      </c>
      <c r="G12" s="237">
        <v>20</v>
      </c>
      <c r="H12" s="265"/>
      <c r="I12" s="396"/>
      <c r="V12" s="49"/>
      <c r="W12" s="171">
        <f>IF(G16&lt;=10,G16,10)</f>
        <v>2</v>
      </c>
      <c r="X12" s="26" t="s">
        <v>109</v>
      </c>
      <c r="Y12" s="26"/>
      <c r="Z12" s="26"/>
      <c r="AA12" s="49"/>
    </row>
    <row r="13" spans="1:27" ht="15" customHeight="1" x14ac:dyDescent="0.2">
      <c r="G13" s="263"/>
      <c r="H13" s="265"/>
      <c r="I13" s="396"/>
      <c r="V13" s="49"/>
      <c r="W13" s="325">
        <f>75.07+(2.97*G12)-(3.996*G14)-(W12*2)</f>
        <v>90.509999999999991</v>
      </c>
      <c r="X13" s="26" t="s">
        <v>651</v>
      </c>
      <c r="Y13" s="26"/>
      <c r="Z13" s="292"/>
      <c r="AA13" s="49"/>
    </row>
    <row r="14" spans="1:27" s="60" customFormat="1" ht="15" customHeight="1" x14ac:dyDescent="0.2">
      <c r="D14" s="60" t="s">
        <v>338</v>
      </c>
      <c r="F14" s="265" t="s">
        <v>27</v>
      </c>
      <c r="G14" s="237">
        <v>10</v>
      </c>
      <c r="H14" s="298" t="s">
        <v>1922</v>
      </c>
      <c r="I14" s="272"/>
      <c r="J14" s="266"/>
      <c r="K14" s="266"/>
      <c r="V14" s="298"/>
      <c r="W14" s="325">
        <f>1000*((W13*5)/J10)</f>
        <v>407.29499999999996</v>
      </c>
      <c r="X14" s="292" t="s">
        <v>653</v>
      </c>
      <c r="Y14" s="292"/>
      <c r="Z14" s="292"/>
      <c r="AA14" s="298"/>
    </row>
    <row r="15" spans="1:27" s="60" customFormat="1" ht="15" customHeight="1" x14ac:dyDescent="0.2">
      <c r="D15" s="266"/>
      <c r="F15" s="265" t="s">
        <v>28</v>
      </c>
      <c r="G15" s="237">
        <v>250</v>
      </c>
      <c r="H15" s="298" t="s">
        <v>1922</v>
      </c>
      <c r="I15" s="266"/>
      <c r="J15" s="266"/>
      <c r="K15" s="266"/>
      <c r="V15" s="298"/>
      <c r="W15" s="325">
        <f>0.68+(7.73*G12)</f>
        <v>155.28000000000003</v>
      </c>
      <c r="X15" s="26" t="s">
        <v>652</v>
      </c>
      <c r="Y15" s="26"/>
      <c r="Z15" s="292"/>
      <c r="AA15" s="298"/>
    </row>
    <row r="16" spans="1:27" s="60" customFormat="1" ht="15" customHeight="1" x14ac:dyDescent="0.2">
      <c r="D16" s="266"/>
      <c r="F16" s="263" t="s">
        <v>29</v>
      </c>
      <c r="G16" s="237">
        <v>2</v>
      </c>
      <c r="H16" s="49" t="s">
        <v>30</v>
      </c>
      <c r="I16" s="266"/>
      <c r="J16" s="266"/>
      <c r="K16" s="266"/>
      <c r="V16" s="298"/>
      <c r="W16" s="325">
        <f>W15-(W12*10)</f>
        <v>135.28000000000003</v>
      </c>
      <c r="X16" s="26" t="s">
        <v>1128</v>
      </c>
      <c r="Y16" s="26"/>
      <c r="Z16" s="292"/>
      <c r="AA16" s="298"/>
    </row>
    <row r="17" spans="1:28" s="60" customFormat="1" ht="15" customHeight="1" x14ac:dyDescent="0.2">
      <c r="F17" s="317" t="s">
        <v>953</v>
      </c>
      <c r="G17" s="237">
        <v>20</v>
      </c>
      <c r="H17" s="49" t="s">
        <v>563</v>
      </c>
      <c r="I17" s="266"/>
      <c r="J17" s="266"/>
      <c r="K17" s="266"/>
      <c r="V17" s="298"/>
      <c r="W17" s="325">
        <f>(138.35+(9.188*G12)-(0.72*G15))-(W12*5)</f>
        <v>132.11000000000001</v>
      </c>
      <c r="X17" s="26" t="s">
        <v>949</v>
      </c>
      <c r="Y17" s="26"/>
      <c r="Z17" s="292"/>
      <c r="AA17" s="298"/>
    </row>
    <row r="18" spans="1:28" s="60" customFormat="1" ht="15" customHeight="1" x14ac:dyDescent="0.3">
      <c r="F18" s="317" t="s">
        <v>1491</v>
      </c>
      <c r="G18" s="5">
        <v>7</v>
      </c>
      <c r="H18" s="49" t="s">
        <v>1925</v>
      </c>
      <c r="I18" s="266"/>
      <c r="J18" s="266"/>
      <c r="K18" s="266"/>
      <c r="V18" s="298"/>
      <c r="W18" s="26"/>
      <c r="X18" s="26"/>
      <c r="Y18" s="26"/>
      <c r="Z18" s="292"/>
      <c r="AA18" s="298"/>
    </row>
    <row r="19" spans="1:28" s="60" customFormat="1" ht="15" customHeight="1" x14ac:dyDescent="0.2">
      <c r="F19" s="317"/>
      <c r="G19" s="208"/>
      <c r="H19" s="26"/>
      <c r="I19" s="27"/>
      <c r="J19" s="266"/>
      <c r="K19" s="266"/>
      <c r="V19" s="298"/>
      <c r="W19" s="26"/>
      <c r="X19" s="26"/>
      <c r="Y19" s="26"/>
      <c r="Z19" s="292"/>
      <c r="AA19" s="298"/>
    </row>
    <row r="20" spans="1:28" s="60" customFormat="1" ht="15" customHeight="1" x14ac:dyDescent="0.2">
      <c r="D20" s="273" t="s">
        <v>340</v>
      </c>
      <c r="G20" s="237">
        <v>90</v>
      </c>
      <c r="H20" s="49" t="s">
        <v>563</v>
      </c>
      <c r="I20" s="266"/>
      <c r="J20" s="266"/>
      <c r="K20" s="266"/>
      <c r="V20" s="298"/>
      <c r="W20" s="315">
        <f xml:space="preserve"> G18*(70-G17)/G20</f>
        <v>3.8888888888888888</v>
      </c>
      <c r="X20" s="26" t="s">
        <v>838</v>
      </c>
      <c r="Y20" s="26"/>
      <c r="Z20" s="292"/>
      <c r="AA20" s="298"/>
    </row>
    <row r="21" spans="1:28" s="60" customFormat="1" ht="15" customHeight="1" x14ac:dyDescent="0.2">
      <c r="D21" s="273"/>
      <c r="G21" s="263"/>
      <c r="H21" s="49"/>
      <c r="I21" s="266"/>
      <c r="J21" s="266"/>
      <c r="K21" s="266"/>
      <c r="V21" s="298"/>
      <c r="W21" s="315"/>
      <c r="X21" s="26"/>
      <c r="Y21" s="26"/>
      <c r="Z21" s="292"/>
      <c r="AA21" s="298"/>
    </row>
    <row r="22" spans="1:28" s="60" customFormat="1" ht="15" customHeight="1" x14ac:dyDescent="0.25">
      <c r="D22" s="291" t="s">
        <v>371</v>
      </c>
      <c r="E22" s="263"/>
      <c r="F22" s="263"/>
      <c r="H22" s="49"/>
      <c r="I22" s="266"/>
      <c r="J22" s="266"/>
      <c r="V22" s="298"/>
      <c r="W22" s="315"/>
      <c r="X22" s="26"/>
      <c r="Y22" s="26"/>
      <c r="Z22" s="292"/>
      <c r="AA22" s="298"/>
    </row>
    <row r="23" spans="1:28" s="60" customFormat="1" ht="15" customHeight="1" x14ac:dyDescent="0.2">
      <c r="D23" s="320" t="s">
        <v>1708</v>
      </c>
      <c r="G23" s="220">
        <f>IF(W20&gt;0,W20,0)</f>
        <v>3.8888888888888888</v>
      </c>
      <c r="H23" s="273" t="s">
        <v>242</v>
      </c>
      <c r="I23" s="266"/>
      <c r="J23" s="266"/>
      <c r="K23" s="266"/>
      <c r="V23" s="298"/>
      <c r="W23" s="26" t="s">
        <v>588</v>
      </c>
      <c r="X23" s="26"/>
      <c r="Y23" s="26"/>
      <c r="Z23" s="292"/>
      <c r="AA23" s="298"/>
    </row>
    <row r="24" spans="1:28" s="60" customFormat="1" ht="15" customHeight="1" x14ac:dyDescent="0.2">
      <c r="D24" s="296"/>
      <c r="G24" s="263"/>
      <c r="H24" s="49"/>
      <c r="I24" s="266"/>
      <c r="J24" s="266"/>
      <c r="K24" s="266"/>
      <c r="V24" s="298"/>
      <c r="W24" s="171">
        <v>20</v>
      </c>
      <c r="X24" s="325">
        <f>ROUND((G26/W25)*100,0)</f>
        <v>13</v>
      </c>
      <c r="Y24" s="325">
        <f>ROUND((G27/W25)*100,0)</f>
        <v>20</v>
      </c>
      <c r="Z24" s="292"/>
      <c r="AA24" s="298"/>
    </row>
    <row r="25" spans="1:28" s="60" customFormat="1" ht="15" customHeight="1" x14ac:dyDescent="0.2">
      <c r="D25" s="302" t="s">
        <v>948</v>
      </c>
      <c r="G25" s="224">
        <f>IF(W16&gt;0,W16,0)</f>
        <v>135.28000000000003</v>
      </c>
      <c r="H25" s="273" t="s">
        <v>1926</v>
      </c>
      <c r="I25" s="266"/>
      <c r="K25" s="279"/>
      <c r="V25" s="298"/>
      <c r="W25" s="171">
        <f>(G25*100)/W24</f>
        <v>676.4000000000002</v>
      </c>
      <c r="X25" s="26" t="s">
        <v>835</v>
      </c>
      <c r="Y25" s="26"/>
      <c r="Z25" s="292"/>
      <c r="AA25" s="298"/>
    </row>
    <row r="26" spans="1:28" s="60" customFormat="1" ht="15" customHeight="1" x14ac:dyDescent="0.25">
      <c r="D26" s="164"/>
      <c r="F26" s="263"/>
      <c r="G26" s="224">
        <f>IF(W13&gt;0,W13,0)</f>
        <v>90.509999999999991</v>
      </c>
      <c r="H26" s="273" t="s">
        <v>1927</v>
      </c>
      <c r="I26" s="266"/>
      <c r="J26" s="280"/>
      <c r="K26" s="706" t="str">
        <f>HYPERLINK("#"&amp;"'RecomendacaoMicro'!h1","Recomendação - Micronutrientes")</f>
        <v>Recomendação - Micronutrientes</v>
      </c>
      <c r="L26" s="706"/>
      <c r="M26" s="706"/>
      <c r="N26" s="706"/>
      <c r="V26" s="298"/>
      <c r="W26" s="292"/>
      <c r="X26" s="292"/>
      <c r="Y26" s="292"/>
      <c r="Z26" s="292"/>
      <c r="AA26" s="298"/>
    </row>
    <row r="27" spans="1:28" s="60" customFormat="1" ht="15" customHeight="1" x14ac:dyDescent="0.25">
      <c r="D27" s="164"/>
      <c r="F27" s="263"/>
      <c r="G27" s="224">
        <f>IF(W17&gt;0,W17,0)</f>
        <v>132.11000000000001</v>
      </c>
      <c r="H27" s="273" t="s">
        <v>1928</v>
      </c>
      <c r="I27" s="266"/>
      <c r="J27" s="280"/>
      <c r="K27" s="279"/>
      <c r="V27" s="298"/>
      <c r="W27" s="292"/>
      <c r="X27" s="292"/>
      <c r="Y27" s="292"/>
      <c r="Z27" s="292"/>
      <c r="AA27" s="298"/>
    </row>
    <row r="28" spans="1:28" s="294" customFormat="1" ht="15" customHeight="1" x14ac:dyDescent="0.25">
      <c r="A28" s="60"/>
      <c r="B28" s="60"/>
      <c r="C28" s="60"/>
      <c r="D28" s="164"/>
      <c r="E28" s="60"/>
      <c r="F28" s="263"/>
      <c r="G28" s="224"/>
      <c r="H28" s="273"/>
      <c r="I28" s="266"/>
      <c r="J28" s="280"/>
      <c r="K28" s="279"/>
      <c r="L28" s="60"/>
      <c r="M28" s="60"/>
      <c r="N28" s="60"/>
      <c r="O28" s="60"/>
      <c r="V28" s="298"/>
      <c r="W28" s="171">
        <v>10</v>
      </c>
      <c r="X28" s="325">
        <f>ROUND((G26/W29)*100,0)</f>
        <v>7</v>
      </c>
      <c r="Y28" s="325">
        <f>ROUND((G27/W29)*100,0)</f>
        <v>10</v>
      </c>
      <c r="Z28" s="292"/>
      <c r="AA28" s="298"/>
    </row>
    <row r="29" spans="1:28" s="500" customFormat="1" ht="15" customHeight="1" x14ac:dyDescent="0.2">
      <c r="A29" s="294"/>
      <c r="B29" s="60"/>
      <c r="C29" s="60"/>
      <c r="D29" s="169" t="s">
        <v>628</v>
      </c>
      <c r="E29" s="145"/>
      <c r="F29" s="145"/>
      <c r="G29" s="271"/>
      <c r="H29" s="266"/>
      <c r="I29" s="266"/>
      <c r="J29" s="60"/>
      <c r="K29" s="279"/>
      <c r="L29" s="60"/>
      <c r="M29" s="60"/>
      <c r="N29" s="60"/>
      <c r="O29" s="294"/>
      <c r="V29" s="298"/>
      <c r="W29" s="292">
        <f>(G25*100)/W28</f>
        <v>1352.8000000000004</v>
      </c>
      <c r="X29" s="26" t="s">
        <v>835</v>
      </c>
      <c r="Y29" s="292"/>
      <c r="Z29" s="292"/>
      <c r="AA29" s="298"/>
    </row>
    <row r="30" spans="1:28" s="500" customFormat="1" ht="15" customHeight="1" x14ac:dyDescent="0.2">
      <c r="B30" s="294"/>
      <c r="C30" s="294"/>
      <c r="D30" s="294"/>
      <c r="E30" s="298"/>
      <c r="F30" s="316" t="s">
        <v>1709</v>
      </c>
      <c r="H30" s="9">
        <v>3</v>
      </c>
      <c r="I30" s="49"/>
      <c r="J30" s="49"/>
      <c r="K30" s="298"/>
      <c r="L30" s="279"/>
      <c r="M30" s="294"/>
      <c r="N30" s="294"/>
      <c r="O30" s="294"/>
      <c r="W30" s="298"/>
      <c r="X30" s="292"/>
      <c r="Y30" s="292"/>
      <c r="Z30" s="292"/>
      <c r="AA30" s="292"/>
      <c r="AB30" s="298"/>
    </row>
    <row r="31" spans="1:28" s="500" customFormat="1" ht="15" customHeight="1" x14ac:dyDescent="0.2">
      <c r="D31" s="298"/>
      <c r="E31" s="298"/>
      <c r="F31" s="298"/>
      <c r="G31" s="298"/>
      <c r="H31" s="298"/>
      <c r="I31" s="298"/>
      <c r="J31" s="298"/>
      <c r="K31" s="298"/>
      <c r="W31" s="298"/>
      <c r="X31" s="292"/>
      <c r="Y31" s="292"/>
      <c r="Z31" s="292"/>
      <c r="AA31" s="292"/>
      <c r="AB31" s="298"/>
    </row>
    <row r="32" spans="1:28" s="500" customFormat="1" ht="15" customHeight="1" x14ac:dyDescent="0.2">
      <c r="E32" s="501" t="s">
        <v>1710</v>
      </c>
      <c r="F32" s="49" t="s">
        <v>837</v>
      </c>
      <c r="G32" s="49"/>
      <c r="H32" s="224">
        <f>IF(W14&gt;0,W14,0)</f>
        <v>407.29499999999996</v>
      </c>
      <c r="I32" s="273" t="s">
        <v>1714</v>
      </c>
      <c r="J32" s="298"/>
      <c r="K32" s="169"/>
      <c r="L32" s="502"/>
      <c r="M32" s="502"/>
      <c r="W32" s="298"/>
      <c r="X32" s="292"/>
      <c r="Y32" s="292"/>
      <c r="Z32" s="292"/>
      <c r="AA32" s="292"/>
      <c r="AB32" s="298"/>
    </row>
    <row r="33" spans="1:28" s="500" customFormat="1" ht="15" customHeight="1" x14ac:dyDescent="0.2">
      <c r="E33" s="49"/>
      <c r="F33" s="257">
        <f>H30</f>
        <v>3</v>
      </c>
      <c r="G33" s="273" t="s">
        <v>798</v>
      </c>
      <c r="H33" s="49"/>
      <c r="I33" s="276">
        <f>I38</f>
        <v>202.92000000000007</v>
      </c>
      <c r="J33" s="517" t="str">
        <f>"g/cova de "&amp;W24&amp;"-0-"&amp;Y24</f>
        <v>g/cova de 20-0-20</v>
      </c>
      <c r="L33" s="276"/>
      <c r="M33" s="276"/>
      <c r="N33" s="502"/>
      <c r="W33" s="298"/>
      <c r="X33" s="292"/>
      <c r="Y33" s="292"/>
      <c r="Z33" s="292"/>
      <c r="AA33" s="292"/>
      <c r="AB33" s="298"/>
    </row>
    <row r="34" spans="1:28" s="502" customFormat="1" ht="15" customHeight="1" x14ac:dyDescent="0.2">
      <c r="A34" s="500"/>
      <c r="B34" s="500"/>
      <c r="C34" s="500"/>
      <c r="D34" s="500"/>
      <c r="E34" s="49"/>
      <c r="F34" s="49"/>
      <c r="G34" s="49"/>
      <c r="H34" s="49"/>
      <c r="I34" s="49"/>
      <c r="J34" s="49"/>
      <c r="K34" s="49"/>
      <c r="L34" s="266"/>
      <c r="M34" s="266"/>
      <c r="N34" s="266"/>
      <c r="O34" s="500"/>
      <c r="P34" s="500"/>
      <c r="W34" s="49"/>
      <c r="X34" s="49"/>
      <c r="Y34" s="49"/>
      <c r="Z34" s="49"/>
      <c r="AA34" s="49"/>
      <c r="AB34" s="49"/>
    </row>
    <row r="35" spans="1:28" ht="15" customHeight="1" x14ac:dyDescent="0.2">
      <c r="A35" s="502"/>
      <c r="B35" s="500"/>
      <c r="C35" s="500"/>
      <c r="D35" s="500"/>
      <c r="E35" s="501" t="s">
        <v>1711</v>
      </c>
      <c r="F35" s="49" t="s">
        <v>837</v>
      </c>
      <c r="G35" s="49"/>
      <c r="H35" s="224">
        <f>H32</f>
        <v>407.29499999999996</v>
      </c>
      <c r="I35" s="273" t="s">
        <v>1714</v>
      </c>
      <c r="J35" s="298"/>
      <c r="K35" s="169"/>
      <c r="L35" s="502"/>
      <c r="M35" s="502"/>
      <c r="O35" s="500"/>
      <c r="P35" s="502"/>
      <c r="W35" s="49"/>
      <c r="X35" s="49"/>
      <c r="Y35" s="49"/>
      <c r="Z35" s="49"/>
      <c r="AA35" s="49"/>
      <c r="AB35" s="49"/>
    </row>
    <row r="36" spans="1:28" ht="15" customHeight="1" x14ac:dyDescent="0.2">
      <c r="B36" s="502"/>
      <c r="C36" s="502"/>
      <c r="D36" s="502"/>
      <c r="E36" s="49"/>
      <c r="F36" s="257">
        <f>H30</f>
        <v>3</v>
      </c>
      <c r="G36" s="292" t="s">
        <v>798</v>
      </c>
      <c r="H36" s="49"/>
      <c r="I36" s="276">
        <f>I40</f>
        <v>405.84000000000015</v>
      </c>
      <c r="J36" s="170" t="str">
        <f>"g/cova de "&amp;W28&amp;"-0-"&amp;Y28</f>
        <v>g/cova de 10-0-10</v>
      </c>
      <c r="K36" s="502"/>
      <c r="L36" s="276"/>
      <c r="M36" s="276"/>
      <c r="O36" s="502"/>
    </row>
    <row r="37" spans="1:28" ht="15" customHeight="1" x14ac:dyDescent="0.2">
      <c r="E37" s="49"/>
      <c r="F37" s="256"/>
      <c r="G37" s="273"/>
      <c r="H37" s="49"/>
      <c r="I37" s="276"/>
      <c r="J37" s="273"/>
      <c r="K37" s="257"/>
      <c r="L37" s="276"/>
      <c r="M37" s="276"/>
    </row>
    <row r="38" spans="1:28" ht="15" customHeight="1" x14ac:dyDescent="0.2">
      <c r="E38" s="501" t="s">
        <v>1712</v>
      </c>
      <c r="F38" s="222">
        <f>H30</f>
        <v>3</v>
      </c>
      <c r="G38" s="273" t="s">
        <v>798</v>
      </c>
      <c r="H38" s="49"/>
      <c r="I38" s="276">
        <f>((W25/J10)*1000)/H30</f>
        <v>202.92000000000007</v>
      </c>
      <c r="J38" s="170" t="str">
        <f>"g/planta de "&amp;W24&amp;"-"&amp;X24&amp;"-"&amp;Y24</f>
        <v>g/planta de 20-13-20</v>
      </c>
      <c r="L38" s="224"/>
      <c r="M38" s="276"/>
    </row>
    <row r="39" spans="1:28" ht="15" customHeight="1" x14ac:dyDescent="0.2">
      <c r="E39" s="49"/>
      <c r="F39" s="256"/>
      <c r="G39" s="273"/>
      <c r="H39" s="49"/>
      <c r="I39" s="276"/>
      <c r="J39" s="273"/>
      <c r="K39" s="257"/>
      <c r="L39" s="276"/>
      <c r="M39" s="276"/>
    </row>
    <row r="40" spans="1:28" ht="15" customHeight="1" x14ac:dyDescent="0.2">
      <c r="E40" s="501" t="s">
        <v>1713</v>
      </c>
      <c r="F40" s="222">
        <f>H30</f>
        <v>3</v>
      </c>
      <c r="G40" s="273" t="s">
        <v>798</v>
      </c>
      <c r="H40" s="49"/>
      <c r="I40" s="276">
        <f>((W29/J10)*1000)/H30</f>
        <v>405.84000000000015</v>
      </c>
      <c r="J40" s="170" t="str">
        <f>"g/planta de "&amp;W28&amp;"-"&amp;X28&amp;"-"&amp;Y28</f>
        <v>g/planta de 10-7-10</v>
      </c>
      <c r="L40" s="224"/>
      <c r="M40" s="276"/>
      <c r="W40" s="281"/>
    </row>
    <row r="41" spans="1:28" ht="15" customHeight="1" x14ac:dyDescent="0.2">
      <c r="P41" s="281"/>
      <c r="W41" s="281"/>
    </row>
    <row r="42" spans="1:28" ht="15" customHeight="1" x14ac:dyDescent="0.2">
      <c r="E42" s="506" t="s">
        <v>1935</v>
      </c>
      <c r="F42" s="507"/>
      <c r="G42" s="508"/>
      <c r="H42" s="509"/>
      <c r="I42" s="507"/>
      <c r="J42" s="507"/>
      <c r="K42" s="283"/>
      <c r="L42" s="283"/>
      <c r="M42" s="281"/>
      <c r="N42" s="281"/>
      <c r="O42" s="281"/>
      <c r="P42" s="281"/>
      <c r="W42" s="281"/>
    </row>
    <row r="43" spans="1:28" ht="15" customHeight="1" x14ac:dyDescent="0.2">
      <c r="E43" s="510"/>
      <c r="F43" s="511"/>
      <c r="G43" s="512" t="s">
        <v>434</v>
      </c>
      <c r="H43" s="518"/>
      <c r="I43" s="514" t="str">
        <f>"sc/ talhão  de "&amp;J11&amp;" ha"</f>
        <v>sc/ talhão  de 4,5 ha</v>
      </c>
      <c r="J43" s="470"/>
      <c r="K43" s="277"/>
      <c r="L43" s="283"/>
      <c r="M43" s="281"/>
      <c r="N43" s="281"/>
      <c r="O43" s="281"/>
      <c r="P43" s="281"/>
      <c r="W43" s="281"/>
    </row>
    <row r="44" spans="1:28" ht="15" customHeight="1" x14ac:dyDescent="0.2">
      <c r="E44" s="283" t="s">
        <v>591</v>
      </c>
      <c r="F44" s="220"/>
      <c r="G44" s="218">
        <f>(G23*1000)/50</f>
        <v>77.777777777777771</v>
      </c>
      <c r="I44" s="310">
        <f>G44*J11</f>
        <v>350</v>
      </c>
      <c r="J44" s="281"/>
      <c r="K44" s="283"/>
      <c r="L44" s="283"/>
      <c r="M44" s="281"/>
      <c r="N44" s="281"/>
      <c r="O44" s="281"/>
      <c r="P44" s="281"/>
      <c r="W44" s="281"/>
    </row>
    <row r="45" spans="1:28" ht="15" customHeight="1" x14ac:dyDescent="0.2">
      <c r="E45" s="283" t="s">
        <v>588</v>
      </c>
      <c r="F45" s="220"/>
      <c r="G45" s="218">
        <f>3*((I33*J10)/1000)/50</f>
        <v>13.528000000000006</v>
      </c>
      <c r="I45" s="310">
        <f>G45*J11</f>
        <v>60.876000000000026</v>
      </c>
      <c r="J45" s="281"/>
      <c r="K45" s="283"/>
      <c r="L45" s="283"/>
      <c r="M45" s="281"/>
      <c r="N45" s="281"/>
      <c r="O45" s="281"/>
      <c r="P45" s="281"/>
      <c r="W45" s="281"/>
    </row>
    <row r="46" spans="1:28" ht="15" customHeight="1" x14ac:dyDescent="0.2">
      <c r="E46" s="515" t="s">
        <v>816</v>
      </c>
      <c r="F46" s="508"/>
      <c r="G46" s="516">
        <f>((H32*J10)/1000)/50</f>
        <v>9.0509999999999984</v>
      </c>
      <c r="H46" s="157"/>
      <c r="I46" s="516">
        <f>G46*J11</f>
        <v>40.729499999999994</v>
      </c>
      <c r="J46" s="507"/>
      <c r="K46" s="283"/>
      <c r="L46" s="283"/>
      <c r="M46" s="281"/>
      <c r="N46" s="281"/>
      <c r="O46" s="281"/>
      <c r="P46" s="281"/>
    </row>
    <row r="47" spans="1:28" ht="15" customHeight="1" x14ac:dyDescent="0.2">
      <c r="D47" s="275"/>
      <c r="E47" s="283"/>
      <c r="F47" s="220"/>
      <c r="G47" s="280"/>
      <c r="H47" s="281"/>
      <c r="I47" s="281"/>
      <c r="J47" s="281"/>
      <c r="K47" s="281"/>
      <c r="L47" s="281"/>
      <c r="M47" s="281"/>
      <c r="N47" s="281"/>
    </row>
    <row r="48" spans="1:28" ht="15" customHeight="1" x14ac:dyDescent="0.2">
      <c r="D48" s="169"/>
      <c r="H48" s="272"/>
    </row>
    <row r="49" spans="1:22" ht="15" customHeight="1" x14ac:dyDescent="0.2">
      <c r="D49" s="275"/>
      <c r="H49" s="272"/>
      <c r="V49" s="213"/>
    </row>
    <row r="50" spans="1:22" ht="15" customHeight="1" x14ac:dyDescent="0.2">
      <c r="D50" s="275"/>
      <c r="H50" s="272"/>
      <c r="O50" s="213"/>
      <c r="V50" s="213"/>
    </row>
    <row r="51" spans="1:22" ht="15" customHeight="1" x14ac:dyDescent="0.2">
      <c r="E51" s="213"/>
      <c r="F51" s="213"/>
      <c r="G51" s="213"/>
      <c r="H51" s="272"/>
      <c r="I51" s="213"/>
      <c r="J51" s="213"/>
      <c r="K51" s="213"/>
      <c r="L51" s="213"/>
      <c r="M51" s="213"/>
      <c r="N51" s="213"/>
      <c r="O51" s="213"/>
      <c r="P51" s="213"/>
    </row>
    <row r="52" spans="1:22" ht="15" customHeight="1" x14ac:dyDescent="0.2">
      <c r="E52" s="213"/>
      <c r="F52" s="213"/>
      <c r="G52" s="213"/>
      <c r="H52" s="272"/>
      <c r="I52" s="213"/>
      <c r="J52" s="213"/>
      <c r="K52" s="213"/>
      <c r="L52" s="213"/>
      <c r="M52" s="213"/>
      <c r="N52" s="213"/>
      <c r="O52" s="213"/>
      <c r="P52" s="281"/>
    </row>
    <row r="53" spans="1:22" ht="15" customHeight="1" x14ac:dyDescent="0.2">
      <c r="E53" s="213"/>
      <c r="F53" s="213"/>
      <c r="G53" s="213"/>
      <c r="H53" s="272"/>
      <c r="I53" s="213"/>
      <c r="J53" s="213"/>
      <c r="K53" s="213"/>
      <c r="L53" s="213"/>
      <c r="M53" s="213"/>
      <c r="N53" s="213"/>
      <c r="O53" s="281"/>
      <c r="P53" s="281"/>
    </row>
    <row r="54" spans="1:22" s="60" customFormat="1" ht="15" customHeight="1" x14ac:dyDescent="0.2">
      <c r="D54" s="226" t="s">
        <v>891</v>
      </c>
      <c r="E54" s="771">
        <f ca="1">TODAY()</f>
        <v>45064</v>
      </c>
      <c r="F54" s="772"/>
      <c r="G54" s="60" t="s">
        <v>373</v>
      </c>
    </row>
    <row r="55" spans="1:22" s="60" customFormat="1" ht="15" customHeight="1" x14ac:dyDescent="0.2">
      <c r="D55" s="267"/>
    </row>
    <row r="56" spans="1:22" ht="15" hidden="1" customHeight="1" x14ac:dyDescent="0.2">
      <c r="A56" s="60"/>
      <c r="B56" s="60"/>
      <c r="C56" s="60"/>
      <c r="D56" s="267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</row>
    <row r="57" spans="1:22" ht="15" hidden="1" customHeight="1" x14ac:dyDescent="0.2">
      <c r="B57" s="60"/>
      <c r="C57" s="60"/>
      <c r="D57" s="275"/>
      <c r="E57" s="60"/>
      <c r="F57" s="60"/>
      <c r="G57" s="60"/>
      <c r="H57" s="60"/>
      <c r="I57" s="60"/>
      <c r="J57" s="60"/>
      <c r="K57" s="60"/>
      <c r="L57" s="60"/>
      <c r="M57" s="60"/>
      <c r="N57" s="60"/>
    </row>
    <row r="58" spans="1:22" ht="15" hidden="1" customHeight="1" x14ac:dyDescent="0.2">
      <c r="D58" s="275"/>
      <c r="E58" s="267"/>
      <c r="F58" s="267"/>
      <c r="G58" s="60"/>
      <c r="H58" s="60"/>
    </row>
  </sheetData>
  <sheetProtection algorithmName="SHA-512" hashValue="K0SJoZSym3+Qs44gM/TdNTxIqqPWWgm0N/ZAXgm/E4oj32MFBTowttoJiLBnwYrtWYIhyTGtC0ZXOR6SxU4cKw==" saltValue="M1dKRqAwwX2BdrXNVUhvbw==" spinCount="100000" sheet="1" objects="1" scenarios="1"/>
  <mergeCells count="4">
    <mergeCell ref="E54:F54"/>
    <mergeCell ref="E6:L6"/>
    <mergeCell ref="E8:M8"/>
    <mergeCell ref="K26:N26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4294967295" r:id="rId1"/>
  <headerFooter alignWithMargins="0"/>
  <rowBreaks count="1" manualBreakCount="1">
    <brk id="54" min="2" max="11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>
    <pageSetUpPr fitToPage="1"/>
  </sheetPr>
  <dimension ref="A1:AC59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0" width="9.140625" style="266" hidden="1" customWidth="1"/>
    <col min="21" max="29" width="0" style="266" hidden="1" customWidth="1"/>
    <col min="30" max="16384" width="9.140625" style="266" hidden="1"/>
  </cols>
  <sheetData>
    <row r="1" spans="1:28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8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8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8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8" ht="24.95" customHeight="1" x14ac:dyDescent="0.2">
      <c r="E6" s="699" t="s">
        <v>1919</v>
      </c>
      <c r="F6" s="699"/>
      <c r="G6" s="699"/>
      <c r="H6" s="699"/>
      <c r="I6" s="699"/>
      <c r="J6" s="699"/>
      <c r="K6" s="699"/>
      <c r="L6" s="699"/>
    </row>
    <row r="7" spans="1:28" ht="15" customHeight="1" x14ac:dyDescent="0.2">
      <c r="G7" s="235"/>
      <c r="H7" s="235"/>
      <c r="I7" s="235"/>
      <c r="J7" s="235"/>
      <c r="K7" s="235"/>
      <c r="L7" s="235"/>
    </row>
    <row r="8" spans="1:28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8" ht="15" customHeight="1" x14ac:dyDescent="0.25">
      <c r="B9" s="486"/>
      <c r="C9" s="486"/>
      <c r="D9" s="486"/>
      <c r="E9" s="486"/>
      <c r="F9" s="486"/>
      <c r="G9" s="486"/>
      <c r="H9" s="486"/>
      <c r="I9" s="486"/>
      <c r="J9" s="486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8" ht="15" customHeight="1" x14ac:dyDescent="0.2"/>
    <row r="11" spans="1:28" ht="15" customHeight="1" x14ac:dyDescent="0.2">
      <c r="D11" s="298" t="s">
        <v>1208</v>
      </c>
      <c r="F11" s="237">
        <v>3</v>
      </c>
      <c r="G11" s="298" t="s">
        <v>2070</v>
      </c>
      <c r="H11" s="237">
        <v>3</v>
      </c>
      <c r="I11" s="298" t="s">
        <v>2069</v>
      </c>
      <c r="J11" s="288">
        <f>10000/(F11*H11)</f>
        <v>1111.1111111111111</v>
      </c>
      <c r="K11" s="170" t="s">
        <v>353</v>
      </c>
      <c r="W11" s="26"/>
      <c r="X11" s="26"/>
      <c r="Y11" s="26"/>
      <c r="Z11" s="26"/>
      <c r="AA11" s="26"/>
      <c r="AB11" s="26"/>
    </row>
    <row r="12" spans="1:28" ht="15" customHeight="1" x14ac:dyDescent="0.2">
      <c r="D12" s="60" t="s">
        <v>1142</v>
      </c>
      <c r="G12" s="237">
        <v>5000</v>
      </c>
      <c r="I12" s="265" t="s">
        <v>672</v>
      </c>
      <c r="J12" s="396">
        <f>G12/J11</f>
        <v>4.5</v>
      </c>
      <c r="K12" s="49" t="s">
        <v>575</v>
      </c>
      <c r="W12" s="26"/>
      <c r="X12" s="26"/>
      <c r="Y12" s="26"/>
      <c r="Z12" s="26"/>
      <c r="AA12" s="26"/>
      <c r="AB12" s="26"/>
    </row>
    <row r="13" spans="1:28" ht="15" customHeight="1" x14ac:dyDescent="0.2">
      <c r="D13" s="60" t="s">
        <v>833</v>
      </c>
      <c r="G13" s="237">
        <v>30</v>
      </c>
      <c r="H13" s="265"/>
      <c r="I13" s="396"/>
      <c r="W13" s="171">
        <f>IF(G17&lt;=10,G17,10)</f>
        <v>2</v>
      </c>
      <c r="X13" s="26" t="s">
        <v>110</v>
      </c>
      <c r="Y13" s="26"/>
      <c r="Z13" s="26"/>
      <c r="AA13" s="26"/>
      <c r="AB13" s="26"/>
    </row>
    <row r="14" spans="1:28" ht="15" customHeight="1" x14ac:dyDescent="0.2">
      <c r="F14" s="263"/>
      <c r="G14" s="265"/>
      <c r="H14" s="353"/>
      <c r="W14" s="325">
        <f>(50+(1.8*G13)-(1.45*G15))-(W13*2)</f>
        <v>84.05</v>
      </c>
      <c r="X14" s="26" t="s">
        <v>651</v>
      </c>
      <c r="Y14" s="26"/>
      <c r="Z14" s="292"/>
      <c r="AA14" s="292"/>
      <c r="AB14" s="26"/>
    </row>
    <row r="15" spans="1:28" s="60" customFormat="1" ht="15" customHeight="1" x14ac:dyDescent="0.2">
      <c r="D15" s="60" t="s">
        <v>338</v>
      </c>
      <c r="F15" s="265" t="s">
        <v>27</v>
      </c>
      <c r="G15" s="237">
        <v>11</v>
      </c>
      <c r="H15" s="298" t="s">
        <v>1922</v>
      </c>
      <c r="I15" s="266"/>
      <c r="J15" s="266"/>
      <c r="K15" s="266"/>
      <c r="W15" s="325">
        <f>1000*((W14*5)/J11)</f>
        <v>378.22500000000002</v>
      </c>
      <c r="X15" s="292" t="s">
        <v>653</v>
      </c>
      <c r="Y15" s="292"/>
      <c r="Z15" s="292"/>
      <c r="AA15" s="292"/>
      <c r="AB15" s="292"/>
    </row>
    <row r="16" spans="1:28" s="60" customFormat="1" ht="15" customHeight="1" x14ac:dyDescent="0.2">
      <c r="D16" s="266"/>
      <c r="F16" s="265" t="s">
        <v>28</v>
      </c>
      <c r="G16" s="237">
        <v>250</v>
      </c>
      <c r="H16" s="298" t="s">
        <v>1922</v>
      </c>
      <c r="I16" s="266"/>
      <c r="J16" s="266"/>
      <c r="K16" s="266"/>
      <c r="W16" s="325">
        <f>7.73+(7.77*G13)</f>
        <v>240.82999999999998</v>
      </c>
      <c r="X16" s="26" t="s">
        <v>652</v>
      </c>
      <c r="Y16" s="26"/>
      <c r="Z16" s="292"/>
      <c r="AA16" s="292"/>
      <c r="AB16" s="292"/>
    </row>
    <row r="17" spans="1:29" s="60" customFormat="1" ht="15" customHeight="1" x14ac:dyDescent="0.2">
      <c r="D17" s="266"/>
      <c r="F17" s="263" t="s">
        <v>29</v>
      </c>
      <c r="G17" s="237">
        <v>2</v>
      </c>
      <c r="H17" s="49" t="s">
        <v>30</v>
      </c>
      <c r="I17" s="266"/>
      <c r="J17" s="266"/>
      <c r="K17" s="266"/>
      <c r="W17" s="325">
        <f>W16-(W13*10)</f>
        <v>220.82999999999998</v>
      </c>
      <c r="X17" s="26" t="s">
        <v>1128</v>
      </c>
      <c r="Y17" s="26"/>
      <c r="Z17" s="292"/>
      <c r="AA17" s="292"/>
      <c r="AB17" s="292"/>
    </row>
    <row r="18" spans="1:29" s="60" customFormat="1" ht="15" customHeight="1" x14ac:dyDescent="0.2">
      <c r="F18" s="317" t="s">
        <v>953</v>
      </c>
      <c r="G18" s="237">
        <v>20</v>
      </c>
      <c r="H18" s="49" t="s">
        <v>563</v>
      </c>
      <c r="I18" s="266"/>
      <c r="J18" s="266"/>
      <c r="K18" s="266"/>
      <c r="W18" s="325">
        <f>(77.1+(12.43*G13)-(0.435*G16))-(W13*5)</f>
        <v>331.25</v>
      </c>
      <c r="X18" s="26" t="s">
        <v>949</v>
      </c>
      <c r="Y18" s="26"/>
      <c r="Z18" s="292"/>
      <c r="AA18" s="292"/>
      <c r="AB18" s="292"/>
    </row>
    <row r="19" spans="1:29" s="60" customFormat="1" ht="15" customHeight="1" x14ac:dyDescent="0.3">
      <c r="F19" s="317" t="s">
        <v>1491</v>
      </c>
      <c r="G19" s="5">
        <v>7</v>
      </c>
      <c r="H19" s="49" t="s">
        <v>1925</v>
      </c>
      <c r="I19" s="266"/>
      <c r="J19" s="266"/>
      <c r="K19" s="266"/>
      <c r="W19" s="26"/>
      <c r="X19" s="26"/>
      <c r="Y19" s="26"/>
      <c r="Z19" s="292"/>
      <c r="AA19" s="292"/>
      <c r="AB19" s="292"/>
    </row>
    <row r="20" spans="1:29" s="60" customFormat="1" ht="15" customHeight="1" x14ac:dyDescent="0.2">
      <c r="F20" s="317"/>
      <c r="G20" s="208"/>
      <c r="H20" s="49"/>
      <c r="I20" s="266"/>
      <c r="J20" s="266"/>
      <c r="K20" s="266"/>
      <c r="W20" s="26"/>
      <c r="X20" s="26"/>
      <c r="Y20" s="26"/>
      <c r="Z20" s="292"/>
      <c r="AA20" s="292"/>
      <c r="AB20" s="292"/>
    </row>
    <row r="21" spans="1:29" s="60" customFormat="1" ht="15" customHeight="1" x14ac:dyDescent="0.2">
      <c r="D21" s="292" t="s">
        <v>340</v>
      </c>
      <c r="G21" s="237">
        <v>90</v>
      </c>
      <c r="H21" s="49" t="s">
        <v>341</v>
      </c>
      <c r="I21" s="266"/>
      <c r="J21" s="266"/>
      <c r="K21" s="266"/>
      <c r="W21" s="26"/>
      <c r="X21" s="26"/>
      <c r="Y21" s="26"/>
      <c r="Z21" s="292"/>
      <c r="AA21" s="292"/>
      <c r="AB21" s="292"/>
    </row>
    <row r="22" spans="1:29" s="60" customFormat="1" ht="15" customHeight="1" x14ac:dyDescent="0.2">
      <c r="D22" s="317"/>
      <c r="E22" s="263"/>
      <c r="F22" s="271"/>
      <c r="G22" s="266"/>
      <c r="H22" s="49"/>
      <c r="I22" s="266"/>
      <c r="W22" s="26"/>
      <c r="X22" s="26"/>
      <c r="Y22" s="26"/>
      <c r="Z22" s="292"/>
      <c r="AA22" s="292"/>
      <c r="AB22" s="292"/>
    </row>
    <row r="23" spans="1:29" s="60" customFormat="1" ht="15" customHeight="1" x14ac:dyDescent="0.25">
      <c r="C23" s="263"/>
      <c r="D23" s="291" t="s">
        <v>371</v>
      </c>
      <c r="F23" s="266"/>
      <c r="G23" s="266"/>
      <c r="H23" s="49"/>
      <c r="I23" s="266"/>
      <c r="W23" s="315">
        <f xml:space="preserve"> G19*(70-G18)/G21</f>
        <v>3.8888888888888888</v>
      </c>
      <c r="X23" s="26" t="s">
        <v>483</v>
      </c>
      <c r="Y23" s="26"/>
      <c r="Z23" s="292"/>
      <c r="AA23" s="292"/>
      <c r="AB23" s="292"/>
    </row>
    <row r="24" spans="1:29" s="60" customFormat="1" ht="15" customHeight="1" x14ac:dyDescent="0.2">
      <c r="D24" s="320" t="s">
        <v>1708</v>
      </c>
      <c r="G24" s="220">
        <f>IF(W23&gt;0,W23,0)</f>
        <v>3.8888888888888888</v>
      </c>
      <c r="H24" s="273" t="s">
        <v>242</v>
      </c>
      <c r="I24" s="266"/>
      <c r="J24" s="266"/>
      <c r="W24" s="315"/>
      <c r="X24" s="26"/>
      <c r="Y24" s="26"/>
      <c r="Z24" s="292"/>
      <c r="AA24" s="292"/>
      <c r="AB24" s="292"/>
    </row>
    <row r="25" spans="1:29" s="60" customFormat="1" ht="15" customHeight="1" x14ac:dyDescent="0.2">
      <c r="D25" s="296"/>
      <c r="G25" s="263"/>
      <c r="H25" s="49"/>
      <c r="I25" s="266"/>
      <c r="J25" s="266"/>
      <c r="K25" s="266"/>
      <c r="W25" s="26" t="s">
        <v>588</v>
      </c>
      <c r="X25" s="26"/>
      <c r="Y25" s="26"/>
      <c r="Z25" s="292"/>
      <c r="AA25" s="292"/>
      <c r="AB25" s="292"/>
    </row>
    <row r="26" spans="1:29" s="60" customFormat="1" ht="15" customHeight="1" x14ac:dyDescent="0.2">
      <c r="D26" s="302" t="s">
        <v>568</v>
      </c>
      <c r="G26" s="224">
        <f>IF(W17&gt;0,W17,0)</f>
        <v>220.82999999999998</v>
      </c>
      <c r="H26" s="273" t="s">
        <v>569</v>
      </c>
      <c r="I26" s="266"/>
      <c r="K26" s="279"/>
      <c r="W26" s="171">
        <v>20</v>
      </c>
      <c r="X26" s="325">
        <f>ROUND((G27/W27)*100,0)</f>
        <v>8</v>
      </c>
      <c r="Y26" s="325">
        <f>ROUND((G28/W27)*100,0)</f>
        <v>30</v>
      </c>
      <c r="Z26" s="292"/>
      <c r="AA26" s="292"/>
      <c r="AB26" s="292"/>
    </row>
    <row r="27" spans="1:29" s="60" customFormat="1" ht="15" customHeight="1" x14ac:dyDescent="0.25">
      <c r="D27" s="164"/>
      <c r="F27" s="263"/>
      <c r="G27" s="224">
        <f>IF(W14&gt;0,W14,0)</f>
        <v>84.05</v>
      </c>
      <c r="H27" s="273" t="s">
        <v>1923</v>
      </c>
      <c r="I27" s="266"/>
      <c r="J27" s="280"/>
      <c r="K27" s="706" t="str">
        <f>HYPERLINK("#"&amp;"'RecomendacaoMicro'!h1","Recomendação - Micronutrientes")</f>
        <v>Recomendação - Micronutrientes</v>
      </c>
      <c r="L27" s="706"/>
      <c r="M27" s="706"/>
      <c r="N27" s="706"/>
      <c r="W27" s="171">
        <f>(G26*100)/W26</f>
        <v>1104.1500000000001</v>
      </c>
      <c r="X27" s="26" t="s">
        <v>835</v>
      </c>
      <c r="Y27" s="26"/>
      <c r="Z27" s="292"/>
      <c r="AA27" s="292"/>
      <c r="AB27" s="292"/>
    </row>
    <row r="28" spans="1:29" s="60" customFormat="1" ht="15" customHeight="1" x14ac:dyDescent="0.25">
      <c r="D28" s="164"/>
      <c r="F28" s="263"/>
      <c r="G28" s="224">
        <f>IF(W18&gt;0,W18,0)</f>
        <v>331.25</v>
      </c>
      <c r="H28" s="273" t="s">
        <v>1924</v>
      </c>
      <c r="I28" s="266"/>
      <c r="J28" s="280"/>
      <c r="K28" s="279"/>
      <c r="W28" s="292"/>
      <c r="X28" s="292"/>
      <c r="Y28" s="292"/>
      <c r="Z28" s="292"/>
      <c r="AA28" s="292"/>
      <c r="AB28" s="292"/>
    </row>
    <row r="29" spans="1:29" s="60" customFormat="1" ht="15" customHeight="1" x14ac:dyDescent="0.25">
      <c r="D29" s="47" t="s">
        <v>628</v>
      </c>
      <c r="E29" s="145"/>
      <c r="F29" s="145"/>
      <c r="G29" s="271"/>
      <c r="H29" s="49"/>
      <c r="I29" s="266"/>
      <c r="K29" s="279"/>
      <c r="W29" s="292"/>
      <c r="X29" s="292"/>
      <c r="Y29" s="292"/>
      <c r="Z29" s="292"/>
      <c r="AA29" s="292"/>
      <c r="AB29" s="292"/>
    </row>
    <row r="30" spans="1:29" s="294" customFormat="1" ht="15" customHeight="1" x14ac:dyDescent="0.2">
      <c r="F30" s="316" t="s">
        <v>1709</v>
      </c>
      <c r="G30" s="5">
        <v>3</v>
      </c>
      <c r="H30" s="213"/>
      <c r="I30" s="213"/>
      <c r="J30" s="213"/>
      <c r="L30" s="279"/>
      <c r="W30" s="171">
        <v>10</v>
      </c>
      <c r="X30" s="325">
        <f>ROUND((G27/W31)*100,0)</f>
        <v>4</v>
      </c>
      <c r="Y30" s="325">
        <f>ROUND((G28/W31)*100,0)</f>
        <v>15</v>
      </c>
      <c r="AA30" s="292"/>
      <c r="AB30" s="292"/>
      <c r="AC30" s="292"/>
    </row>
    <row r="31" spans="1:29" s="500" customFormat="1" ht="15" customHeight="1" x14ac:dyDescent="0.2">
      <c r="A31" s="298"/>
      <c r="W31" s="292">
        <f>(G26*100)/W30</f>
        <v>2208.3000000000002</v>
      </c>
      <c r="X31" s="26" t="s">
        <v>835</v>
      </c>
      <c r="Y31" s="292"/>
      <c r="AA31" s="292"/>
      <c r="AB31" s="292"/>
      <c r="AC31" s="292"/>
    </row>
    <row r="32" spans="1:29" s="500" customFormat="1" ht="15" customHeight="1" x14ac:dyDescent="0.2">
      <c r="E32" s="501" t="s">
        <v>1710</v>
      </c>
      <c r="F32" s="502" t="s">
        <v>837</v>
      </c>
      <c r="G32" s="502"/>
      <c r="H32" s="503">
        <f>IF(W15&gt;0,W15,0)</f>
        <v>378.22500000000002</v>
      </c>
      <c r="I32" s="504" t="s">
        <v>834</v>
      </c>
      <c r="K32" s="505"/>
      <c r="L32" s="502"/>
      <c r="M32" s="502"/>
      <c r="X32" s="292"/>
      <c r="Y32" s="292"/>
      <c r="Z32" s="292"/>
      <c r="AA32" s="292"/>
      <c r="AB32" s="292"/>
      <c r="AC32" s="292"/>
    </row>
    <row r="33" spans="5:29" s="500" customFormat="1" ht="15" customHeight="1" x14ac:dyDescent="0.2">
      <c r="E33" s="49"/>
      <c r="F33" s="257">
        <f>G30</f>
        <v>3</v>
      </c>
      <c r="G33" s="504" t="s">
        <v>836</v>
      </c>
      <c r="H33" s="502"/>
      <c r="I33" s="276">
        <f>I38</f>
        <v>331.24500000000006</v>
      </c>
      <c r="J33" s="280" t="str">
        <f>"g/cova de "&amp;W26&amp;"-0-"&amp;Y26</f>
        <v>g/cova de 20-0-30</v>
      </c>
      <c r="M33" s="257"/>
      <c r="X33" s="292"/>
      <c r="Y33" s="292"/>
      <c r="Z33" s="292"/>
      <c r="AA33" s="292"/>
      <c r="AB33" s="292"/>
      <c r="AC33" s="292"/>
    </row>
    <row r="34" spans="5:29" s="500" customFormat="1" ht="15" customHeight="1" x14ac:dyDescent="0.2">
      <c r="E34" s="49"/>
      <c r="F34" s="266"/>
      <c r="G34" s="266"/>
      <c r="H34" s="266"/>
      <c r="I34" s="266"/>
      <c r="J34" s="266"/>
      <c r="K34" s="266"/>
      <c r="L34" s="266"/>
      <c r="M34" s="266"/>
    </row>
    <row r="35" spans="5:29" s="500" customFormat="1" ht="15" customHeight="1" x14ac:dyDescent="0.2">
      <c r="E35" s="501" t="s">
        <v>1711</v>
      </c>
      <c r="F35" s="502" t="s">
        <v>837</v>
      </c>
      <c r="G35" s="502"/>
      <c r="H35" s="503">
        <f>H32</f>
        <v>378.22500000000002</v>
      </c>
      <c r="I35" s="504" t="s">
        <v>834</v>
      </c>
      <c r="K35" s="505"/>
      <c r="L35" s="502"/>
      <c r="M35" s="502"/>
    </row>
    <row r="36" spans="5:29" s="502" customFormat="1" ht="15" customHeight="1" x14ac:dyDescent="0.2">
      <c r="E36" s="49"/>
      <c r="F36" s="257">
        <f>G30</f>
        <v>3</v>
      </c>
      <c r="G36" s="504" t="s">
        <v>836</v>
      </c>
      <c r="I36" s="276">
        <f>I40</f>
        <v>662.49000000000012</v>
      </c>
      <c r="J36" s="280" t="str">
        <f>"g/cova de "&amp;W30&amp;"-0-"&amp;Y30</f>
        <v>g/cova de 10-0-15</v>
      </c>
      <c r="M36" s="257"/>
    </row>
    <row r="37" spans="5:29" ht="15" customHeight="1" x14ac:dyDescent="0.2">
      <c r="E37" s="49"/>
      <c r="F37" s="467"/>
      <c r="G37" s="504"/>
      <c r="H37" s="502"/>
      <c r="I37" s="276"/>
      <c r="J37" s="280"/>
      <c r="K37" s="257"/>
      <c r="L37" s="276"/>
      <c r="M37" s="276"/>
    </row>
    <row r="38" spans="5:29" ht="15" customHeight="1" x14ac:dyDescent="0.2">
      <c r="E38" s="501" t="s">
        <v>1712</v>
      </c>
      <c r="F38" s="222">
        <f>G30</f>
        <v>3</v>
      </c>
      <c r="G38" s="504" t="s">
        <v>836</v>
      </c>
      <c r="H38" s="502"/>
      <c r="I38" s="276">
        <f>((W27/J11)*1000)/G30</f>
        <v>331.24500000000006</v>
      </c>
      <c r="J38" s="502" t="str">
        <f>"g/planta de "&amp;W26&amp;"-"&amp;X26&amp;"-"&amp;Y26</f>
        <v>g/planta de 20-8-30</v>
      </c>
      <c r="M38" s="257"/>
    </row>
    <row r="39" spans="5:29" ht="15" customHeight="1" x14ac:dyDescent="0.2">
      <c r="E39" s="49"/>
      <c r="F39" s="467"/>
      <c r="G39" s="504"/>
      <c r="H39" s="502"/>
      <c r="I39" s="276"/>
      <c r="J39" s="280"/>
      <c r="K39" s="257"/>
      <c r="L39" s="276"/>
      <c r="M39" s="276"/>
    </row>
    <row r="40" spans="5:29" ht="15" customHeight="1" x14ac:dyDescent="0.2">
      <c r="E40" s="501" t="s">
        <v>1713</v>
      </c>
      <c r="F40" s="222">
        <f>G30</f>
        <v>3</v>
      </c>
      <c r="G40" s="504" t="s">
        <v>836</v>
      </c>
      <c r="H40" s="502"/>
      <c r="I40" s="276">
        <f>((W31/J11)*1000)/G30</f>
        <v>662.49000000000012</v>
      </c>
      <c r="J40" s="502" t="str">
        <f>"g/planta de "&amp;W30&amp;"-"&amp;X30&amp;"-"&amp;Y30</f>
        <v>g/planta de 10-4-15</v>
      </c>
      <c r="M40" s="257"/>
    </row>
    <row r="41" spans="5:29" ht="15" customHeight="1" x14ac:dyDescent="0.2"/>
    <row r="42" spans="5:29" ht="15" customHeight="1" x14ac:dyDescent="0.2">
      <c r="F42" s="506" t="s">
        <v>1935</v>
      </c>
      <c r="G42" s="507"/>
      <c r="H42" s="508"/>
      <c r="I42" s="509"/>
      <c r="J42" s="507"/>
      <c r="K42" s="507"/>
      <c r="L42" s="283"/>
      <c r="M42" s="283"/>
      <c r="N42" s="281"/>
      <c r="O42" s="281"/>
      <c r="P42" s="281"/>
      <c r="Q42" s="281"/>
    </row>
    <row r="43" spans="5:29" ht="15" customHeight="1" x14ac:dyDescent="0.2">
      <c r="F43" s="510"/>
      <c r="G43" s="511"/>
      <c r="H43" s="512" t="s">
        <v>434</v>
      </c>
      <c r="I43" s="513"/>
      <c r="J43" s="514" t="str">
        <f>"sc/ talhão  de "&amp;J12&amp;" ha"</f>
        <v>sc/ talhão  de 4,5 ha</v>
      </c>
      <c r="K43" s="470"/>
      <c r="L43" s="277"/>
      <c r="M43" s="283"/>
      <c r="N43" s="281"/>
      <c r="O43" s="281"/>
      <c r="P43" s="281"/>
      <c r="Q43" s="281"/>
    </row>
    <row r="44" spans="5:29" ht="15" customHeight="1" x14ac:dyDescent="0.2">
      <c r="F44" s="283" t="s">
        <v>591</v>
      </c>
      <c r="G44" s="220"/>
      <c r="H44" s="218">
        <f>(G24*1000)/50</f>
        <v>77.777777777777771</v>
      </c>
      <c r="J44" s="310">
        <f>H44*J12</f>
        <v>350</v>
      </c>
      <c r="K44" s="281"/>
      <c r="L44" s="283"/>
      <c r="M44" s="283"/>
      <c r="N44" s="281"/>
      <c r="O44" s="281"/>
      <c r="P44" s="281"/>
      <c r="Q44" s="281"/>
    </row>
    <row r="45" spans="5:29" ht="15" customHeight="1" x14ac:dyDescent="0.2">
      <c r="F45" s="283" t="s">
        <v>588</v>
      </c>
      <c r="G45" s="220"/>
      <c r="H45" s="218">
        <f>3*((I33*J11)/1000)/50</f>
        <v>22.083000000000002</v>
      </c>
      <c r="J45" s="310">
        <f>H45*J12</f>
        <v>99.373500000000007</v>
      </c>
      <c r="K45" s="281"/>
      <c r="L45" s="283"/>
      <c r="M45" s="283"/>
      <c r="N45" s="281"/>
      <c r="O45" s="281"/>
      <c r="P45" s="281"/>
      <c r="Q45" s="281"/>
    </row>
    <row r="46" spans="5:29" ht="15" customHeight="1" x14ac:dyDescent="0.2">
      <c r="F46" s="515" t="s">
        <v>816</v>
      </c>
      <c r="G46" s="508"/>
      <c r="H46" s="516">
        <f>((H32*J11)/1000)/50</f>
        <v>8.4049999999999994</v>
      </c>
      <c r="I46" s="157"/>
      <c r="J46" s="516">
        <f>H46*J12</f>
        <v>37.822499999999998</v>
      </c>
      <c r="K46" s="507"/>
      <c r="L46" s="283"/>
      <c r="M46" s="283"/>
      <c r="N46" s="281"/>
      <c r="O46" s="281"/>
      <c r="P46" s="281"/>
      <c r="Q46" s="281"/>
    </row>
    <row r="47" spans="5:29" ht="15" customHeight="1" x14ac:dyDescent="0.2">
      <c r="E47" s="275"/>
      <c r="F47" s="283"/>
      <c r="G47" s="220"/>
      <c r="H47" s="280"/>
      <c r="I47" s="281"/>
      <c r="J47" s="281"/>
      <c r="K47" s="281"/>
      <c r="L47" s="283"/>
      <c r="M47" s="283"/>
      <c r="N47" s="281"/>
      <c r="O47" s="281"/>
      <c r="P47" s="281"/>
      <c r="Q47" s="281"/>
    </row>
    <row r="48" spans="5:29" ht="15" customHeight="1" x14ac:dyDescent="0.2">
      <c r="E48" s="169"/>
      <c r="I48" s="272"/>
    </row>
    <row r="49" spans="2:17" ht="15" customHeight="1" x14ac:dyDescent="0.2">
      <c r="E49" s="275"/>
      <c r="I49" s="272"/>
    </row>
    <row r="50" spans="2:17" ht="15" customHeight="1" x14ac:dyDescent="0.2">
      <c r="E50" s="275"/>
      <c r="I50" s="272"/>
    </row>
    <row r="51" spans="2:17" ht="15" customHeight="1" x14ac:dyDescent="0.2">
      <c r="F51" s="213"/>
      <c r="G51" s="213"/>
      <c r="H51" s="213"/>
      <c r="I51" s="272"/>
      <c r="J51" s="213"/>
      <c r="K51" s="213"/>
      <c r="L51" s="213"/>
      <c r="M51" s="213"/>
      <c r="N51" s="213"/>
      <c r="O51" s="213"/>
      <c r="P51" s="213"/>
      <c r="Q51" s="213"/>
    </row>
    <row r="52" spans="2:17" ht="15" customHeight="1" x14ac:dyDescent="0.2">
      <c r="F52" s="213"/>
      <c r="G52" s="213"/>
      <c r="H52" s="213"/>
      <c r="I52" s="272"/>
      <c r="J52" s="213"/>
      <c r="K52" s="213"/>
      <c r="L52" s="213"/>
      <c r="M52" s="213"/>
      <c r="N52" s="213"/>
      <c r="O52" s="213"/>
      <c r="P52" s="213"/>
      <c r="Q52" s="213"/>
    </row>
    <row r="53" spans="2:17" ht="15" customHeight="1" x14ac:dyDescent="0.2">
      <c r="F53" s="213"/>
      <c r="G53" s="213"/>
      <c r="H53" s="213"/>
      <c r="I53" s="272"/>
      <c r="J53" s="213"/>
      <c r="K53" s="213"/>
      <c r="L53" s="213"/>
      <c r="M53" s="213"/>
      <c r="N53" s="213"/>
      <c r="O53" s="213"/>
      <c r="P53" s="213"/>
      <c r="Q53" s="213"/>
    </row>
    <row r="54" spans="2:17" ht="15" customHeight="1" x14ac:dyDescent="0.2">
      <c r="E54" s="275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</row>
    <row r="55" spans="2:17" s="60" customFormat="1" ht="15" customHeight="1" x14ac:dyDescent="0.2">
      <c r="D55" s="226" t="s">
        <v>891</v>
      </c>
      <c r="E55" s="771">
        <f ca="1">TODAY()</f>
        <v>45064</v>
      </c>
      <c r="F55" s="772"/>
      <c r="G55" s="60" t="s">
        <v>373</v>
      </c>
    </row>
    <row r="56" spans="2:17" s="60" customFormat="1" ht="15" customHeight="1" x14ac:dyDescent="0.2">
      <c r="B56" s="267"/>
    </row>
    <row r="57" spans="2:17" s="60" customFormat="1" ht="15" hidden="1" customHeight="1" x14ac:dyDescent="0.2">
      <c r="B57" s="267"/>
    </row>
    <row r="58" spans="2:17" s="60" customFormat="1" ht="15" hidden="1" customHeight="1" x14ac:dyDescent="0.2">
      <c r="B58" s="275"/>
    </row>
    <row r="59" spans="2:17" ht="15" hidden="1" customHeight="1" x14ac:dyDescent="0.2">
      <c r="B59" s="275"/>
      <c r="C59" s="267"/>
      <c r="D59" s="267"/>
      <c r="E59" s="60"/>
      <c r="F59" s="60"/>
    </row>
  </sheetData>
  <sheetProtection algorithmName="SHA-512" hashValue="VBGPxgftUFComcQWakJVVrhFVVoGFQDGZSbFH+Nq/o75fgoRON+7Z9tFXFvGac/3lIjeXdIWh2xkDhpua3KIWg==" saltValue="QPC9bXArjnwDnJjTaTzAmw==" spinCount="100000" sheet="1" objects="1" scenarios="1"/>
  <mergeCells count="4">
    <mergeCell ref="E55:F55"/>
    <mergeCell ref="E6:L6"/>
    <mergeCell ref="E8:M8"/>
    <mergeCell ref="K27:N2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r:id="rId1"/>
  <headerFooter alignWithMargins="0"/>
  <rowBreaks count="1" manualBreakCount="1">
    <brk id="55" max="9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>
    <pageSetUpPr fitToPage="1"/>
  </sheetPr>
  <dimension ref="A1:X40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5" width="9.140625" style="266" customWidth="1"/>
    <col min="6" max="6" width="9.140625" style="265" customWidth="1"/>
    <col min="7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1917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F7" s="266"/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B9" s="291"/>
      <c r="C9" s="291"/>
      <c r="D9" s="291"/>
      <c r="E9" s="291"/>
      <c r="F9" s="291"/>
      <c r="G9" s="291"/>
      <c r="H9" s="291"/>
      <c r="I9" s="291"/>
      <c r="J9" s="309"/>
    </row>
    <row r="10" spans="1:16" ht="15" customHeight="1" x14ac:dyDescent="0.2">
      <c r="F10" s="266"/>
      <c r="H10" s="265"/>
      <c r="N10" s="263"/>
    </row>
    <row r="11" spans="1:16" ht="15" customHeight="1" x14ac:dyDescent="0.2">
      <c r="D11" s="298" t="s">
        <v>1208</v>
      </c>
      <c r="G11" s="237">
        <v>0.8</v>
      </c>
      <c r="H11" s="298" t="s">
        <v>2070</v>
      </c>
      <c r="I11" s="237">
        <v>0.3</v>
      </c>
      <c r="J11" s="298" t="s">
        <v>2069</v>
      </c>
      <c r="K11" s="496">
        <f>10000/(G11*I11)</f>
        <v>41666.666666666672</v>
      </c>
      <c r="L11" s="49" t="s">
        <v>1205</v>
      </c>
      <c r="N11" s="263"/>
    </row>
    <row r="12" spans="1:16" ht="15" customHeight="1" x14ac:dyDescent="0.2">
      <c r="D12" s="60"/>
      <c r="F12" s="266"/>
      <c r="H12" s="265"/>
      <c r="N12" s="263"/>
    </row>
    <row r="13" spans="1:16" ht="15" customHeight="1" x14ac:dyDescent="0.2">
      <c r="D13" s="298" t="s">
        <v>1703</v>
      </c>
      <c r="G13" s="237">
        <v>15</v>
      </c>
      <c r="H13" s="49" t="s">
        <v>1873</v>
      </c>
      <c r="N13" s="27"/>
    </row>
    <row r="14" spans="1:16" ht="15" customHeight="1" x14ac:dyDescent="0.2">
      <c r="D14" s="60"/>
      <c r="G14" s="237">
        <v>150</v>
      </c>
      <c r="H14" s="49" t="s">
        <v>1874</v>
      </c>
      <c r="N14" s="27"/>
    </row>
    <row r="15" spans="1:16" ht="15" customHeight="1" x14ac:dyDescent="0.3">
      <c r="D15" s="60"/>
      <c r="G15" s="237">
        <v>8</v>
      </c>
      <c r="H15" s="49" t="s">
        <v>1881</v>
      </c>
      <c r="N15" s="27"/>
    </row>
    <row r="16" spans="1:16" ht="15" customHeight="1" x14ac:dyDescent="0.2">
      <c r="D16" s="60"/>
      <c r="G16" s="237">
        <v>20</v>
      </c>
      <c r="H16" s="49" t="s">
        <v>339</v>
      </c>
      <c r="N16" s="27"/>
    </row>
    <row r="17" spans="4:24" ht="15" customHeight="1" x14ac:dyDescent="0.2">
      <c r="D17" s="60"/>
      <c r="G17" s="265"/>
      <c r="H17" s="49"/>
      <c r="N17" s="27"/>
    </row>
    <row r="18" spans="4:24" ht="15" customHeight="1" x14ac:dyDescent="0.2">
      <c r="D18" s="60" t="s">
        <v>340</v>
      </c>
      <c r="G18" s="237">
        <v>90</v>
      </c>
      <c r="H18" s="49" t="s">
        <v>341</v>
      </c>
      <c r="N18" s="27"/>
    </row>
    <row r="19" spans="4:24" ht="15" customHeight="1" x14ac:dyDescent="0.2">
      <c r="H19" s="256"/>
    </row>
    <row r="20" spans="4:24" ht="15" customHeight="1" x14ac:dyDescent="0.2">
      <c r="H20" s="49"/>
    </row>
    <row r="21" spans="4:24" ht="15" customHeight="1" x14ac:dyDescent="0.25">
      <c r="D21" s="291" t="s">
        <v>371</v>
      </c>
      <c r="H21" s="49"/>
    </row>
    <row r="22" spans="4:24" ht="15" customHeight="1" x14ac:dyDescent="0.2">
      <c r="D22" s="298" t="s">
        <v>348</v>
      </c>
      <c r="G22" s="286">
        <f>IF(W22&gt;0,W22,0)</f>
        <v>4.4444444444444446</v>
      </c>
      <c r="H22" s="357" t="s">
        <v>349</v>
      </c>
      <c r="L22" s="208"/>
      <c r="M22" s="208"/>
      <c r="N22" s="27"/>
      <c r="W22" s="497">
        <f xml:space="preserve"> G15*(70-G16)/G18</f>
        <v>4.4444444444444446</v>
      </c>
      <c r="X22" s="498" t="s">
        <v>961</v>
      </c>
    </row>
    <row r="23" spans="4:24" ht="15" customHeight="1" x14ac:dyDescent="0.2">
      <c r="E23" s="265"/>
      <c r="F23" s="266"/>
      <c r="G23" s="265"/>
      <c r="H23" s="49"/>
      <c r="L23" s="263"/>
      <c r="M23" s="263"/>
      <c r="N23" s="27"/>
    </row>
    <row r="24" spans="4:24" ht="15" customHeight="1" x14ac:dyDescent="0.2">
      <c r="D24" s="49" t="s">
        <v>628</v>
      </c>
      <c r="E24" s="213"/>
      <c r="F24" s="213"/>
      <c r="G24" s="303"/>
      <c r="H24" s="49"/>
      <c r="I24" s="213"/>
      <c r="J24" s="213"/>
      <c r="K24" s="213"/>
      <c r="L24" s="263"/>
      <c r="M24" s="263"/>
      <c r="N24" s="27"/>
    </row>
    <row r="25" spans="4:24" ht="15" customHeight="1" x14ac:dyDescent="0.2">
      <c r="D25" s="298" t="s">
        <v>1702</v>
      </c>
      <c r="G25" s="224">
        <v>50</v>
      </c>
      <c r="H25" s="298" t="s">
        <v>1250</v>
      </c>
      <c r="I25" s="277" t="str">
        <f>IF(G14&lt;80,"20 - 00 - 30",IF(AND(G14&gt;=80,G14&lt;150),"20 - 00 - 20",IF(AND(G14&gt;=150,G14&lt;200),"20 - 00 - 15",IF(AND(G14&gt;=200,G14&lt;280),"20 - 00 - 10","Sulf. Amônio"))))</f>
        <v>20 - 00 - 15</v>
      </c>
      <c r="N25" s="27"/>
    </row>
    <row r="26" spans="4:24" ht="15" customHeight="1" x14ac:dyDescent="0.2">
      <c r="F26" s="266"/>
      <c r="G26" s="224" t="str">
        <f>IF(G13&lt;20,"140",IF(AND(G13&gt;=20,G13&lt;60),"100",IF(AND(G13&gt;=60,G13&lt;100),"60",IF(AND(G13&gt;=100,G13&lt;150),"30",0))))</f>
        <v>140</v>
      </c>
      <c r="H26" s="49" t="s">
        <v>369</v>
      </c>
      <c r="I26" s="303"/>
      <c r="J26" s="218"/>
      <c r="K26" s="271"/>
      <c r="L26" s="271"/>
      <c r="N26" s="27"/>
    </row>
    <row r="27" spans="4:24" ht="15" customHeight="1" x14ac:dyDescent="0.2">
      <c r="F27" s="266"/>
      <c r="G27" s="224">
        <v>10</v>
      </c>
      <c r="H27" s="49" t="s">
        <v>370</v>
      </c>
      <c r="I27" s="208"/>
      <c r="J27" s="218"/>
      <c r="K27" s="27"/>
      <c r="L27" s="27"/>
      <c r="N27" s="27"/>
    </row>
    <row r="28" spans="4:24" ht="15" customHeight="1" x14ac:dyDescent="0.2">
      <c r="F28" s="169"/>
      <c r="H28" s="256"/>
    </row>
    <row r="29" spans="4:24" ht="15" customHeight="1" x14ac:dyDescent="0.2">
      <c r="D29" s="305" t="s">
        <v>342</v>
      </c>
      <c r="G29" s="224">
        <v>80</v>
      </c>
      <c r="H29" s="170" t="s">
        <v>1250</v>
      </c>
      <c r="I29" s="277" t="str">
        <f>I25</f>
        <v>20 - 00 - 15</v>
      </c>
    </row>
    <row r="30" spans="4:24" ht="15" customHeight="1" x14ac:dyDescent="0.2">
      <c r="D30" s="499" t="s">
        <v>1716</v>
      </c>
      <c r="F30" s="224"/>
      <c r="G30" s="305"/>
      <c r="H30" s="222"/>
      <c r="I30" s="308"/>
    </row>
    <row r="31" spans="4:24" ht="15" customHeight="1" x14ac:dyDescent="0.2">
      <c r="E31" s="224"/>
      <c r="F31" s="305"/>
      <c r="G31" s="222"/>
      <c r="H31" s="308"/>
    </row>
    <row r="32" spans="4:24" ht="15" customHeight="1" x14ac:dyDescent="0.2">
      <c r="D32" s="225" t="s">
        <v>891</v>
      </c>
      <c r="E32" s="771">
        <f ca="1">TODAY()</f>
        <v>45064</v>
      </c>
      <c r="F32" s="772"/>
      <c r="G32" s="281" t="s">
        <v>1152</v>
      </c>
      <c r="H32" s="265"/>
    </row>
    <row r="33" spans="2:11" s="60" customFormat="1" ht="15" customHeight="1" x14ac:dyDescent="0.2">
      <c r="C33" s="267"/>
      <c r="E33" s="60" t="s">
        <v>1251</v>
      </c>
    </row>
    <row r="34" spans="2:11" s="60" customFormat="1" ht="15" hidden="1" customHeight="1" x14ac:dyDescent="0.2">
      <c r="C34" s="267"/>
      <c r="G34" s="714"/>
      <c r="H34" s="714"/>
      <c r="I34" s="714"/>
      <c r="J34" s="714"/>
      <c r="K34" s="265"/>
    </row>
    <row r="35" spans="2:11" s="60" customFormat="1" ht="15" hidden="1" customHeight="1" x14ac:dyDescent="0.2">
      <c r="B35" s="267"/>
      <c r="F35" s="265"/>
    </row>
    <row r="36" spans="2:11" s="60" customFormat="1" ht="15" hidden="1" customHeight="1" x14ac:dyDescent="0.2">
      <c r="B36" s="267"/>
      <c r="F36" s="265"/>
    </row>
    <row r="37" spans="2:11" s="60" customFormat="1" ht="15" hidden="1" customHeight="1" x14ac:dyDescent="0.2">
      <c r="B37" s="267"/>
      <c r="F37" s="265"/>
      <c r="G37" s="266"/>
    </row>
    <row r="38" spans="2:11" s="60" customFormat="1" ht="15" hidden="1" customHeight="1" x14ac:dyDescent="0.2">
      <c r="B38" s="267"/>
      <c r="F38" s="265"/>
    </row>
    <row r="39" spans="2:11" s="60" customFormat="1" ht="15" hidden="1" customHeight="1" x14ac:dyDescent="0.2">
      <c r="B39" s="267"/>
      <c r="F39" s="265"/>
      <c r="G39" s="266"/>
    </row>
    <row r="40" spans="2:11" ht="15" customHeight="1" x14ac:dyDescent="0.2"/>
  </sheetData>
  <sheetProtection algorithmName="SHA-512" hashValue="65hMTMRIFmdjRqfj64u8fuhr4YgCXOyyZH07J7+naMLEtnrj2j2XD87D7aobev9FJ6m2GaCrgktAqoCMqGrDpw==" saltValue="u40l/QqKmR7YWYnTPRhM8A==" spinCount="100000" sheet="1" objects="1" scenarios="1" selectLockedCells="1"/>
  <mergeCells count="4">
    <mergeCell ref="G34:J34"/>
    <mergeCell ref="E6:L6"/>
    <mergeCell ref="E8:M8"/>
    <mergeCell ref="E32:F32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rowBreaks count="1" manualBreakCount="1">
    <brk id="34" max="9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>
    <pageSetUpPr fitToPage="1"/>
  </sheetPr>
  <dimension ref="A1:Z48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1916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D9" s="291"/>
      <c r="E9" s="291"/>
      <c r="F9" s="291"/>
      <c r="G9" s="291"/>
      <c r="H9" s="291"/>
      <c r="I9" s="291"/>
      <c r="J9" s="291"/>
      <c r="K9" s="291"/>
    </row>
    <row r="10" spans="1:16" ht="15" customHeight="1" x14ac:dyDescent="0.2"/>
    <row r="11" spans="1:16" ht="15" customHeight="1" x14ac:dyDescent="0.2">
      <c r="D11" s="170" t="s">
        <v>1703</v>
      </c>
      <c r="G11" s="237">
        <v>8</v>
      </c>
      <c r="H11" s="49" t="s">
        <v>1873</v>
      </c>
      <c r="N11" s="27"/>
    </row>
    <row r="12" spans="1:16" ht="15" customHeight="1" x14ac:dyDescent="0.2">
      <c r="G12" s="237">
        <v>150</v>
      </c>
      <c r="H12" s="49" t="s">
        <v>1874</v>
      </c>
      <c r="N12" s="27"/>
    </row>
    <row r="13" spans="1:16" ht="15" customHeight="1" x14ac:dyDescent="0.2">
      <c r="G13" s="237">
        <v>9</v>
      </c>
      <c r="H13" s="49" t="s">
        <v>1907</v>
      </c>
      <c r="N13" s="27"/>
    </row>
    <row r="14" spans="1:16" ht="15" customHeight="1" x14ac:dyDescent="0.2">
      <c r="G14" s="237">
        <v>40</v>
      </c>
      <c r="H14" s="49" t="s">
        <v>339</v>
      </c>
      <c r="N14" s="27"/>
    </row>
    <row r="15" spans="1:16" ht="15" customHeight="1" x14ac:dyDescent="0.2">
      <c r="G15" s="265"/>
      <c r="H15" s="49"/>
      <c r="N15" s="27"/>
    </row>
    <row r="16" spans="1:16" ht="15" customHeight="1" x14ac:dyDescent="0.2">
      <c r="D16" s="60" t="s">
        <v>340</v>
      </c>
      <c r="G16" s="237">
        <v>90</v>
      </c>
      <c r="H16" s="49" t="s">
        <v>341</v>
      </c>
      <c r="N16" s="27"/>
    </row>
    <row r="17" spans="2:26" ht="15" customHeight="1" x14ac:dyDescent="0.2">
      <c r="F17" s="265"/>
      <c r="N17" s="27"/>
    </row>
    <row r="18" spans="2:26" ht="15" customHeight="1" x14ac:dyDescent="0.25">
      <c r="D18" s="291" t="s">
        <v>371</v>
      </c>
      <c r="E18" s="291"/>
      <c r="F18" s="291"/>
      <c r="G18" s="291"/>
      <c r="H18" s="291"/>
      <c r="I18" s="27"/>
      <c r="O18" s="26"/>
      <c r="P18" s="26"/>
      <c r="Q18" s="26"/>
      <c r="R18" s="26"/>
    </row>
    <row r="19" spans="2:26" s="213" customFormat="1" ht="15" customHeight="1" x14ac:dyDescent="0.2">
      <c r="D19" s="294" t="s">
        <v>348</v>
      </c>
      <c r="G19" s="286">
        <f>IF(W19&gt;0,W19,0)</f>
        <v>3</v>
      </c>
      <c r="H19" s="300" t="s">
        <v>349</v>
      </c>
      <c r="I19" s="303"/>
      <c r="W19" s="315">
        <f xml:space="preserve"> G13*(70-G14)/G16</f>
        <v>3</v>
      </c>
      <c r="X19" s="26" t="s">
        <v>119</v>
      </c>
      <c r="Y19" s="26"/>
      <c r="Z19" s="26"/>
    </row>
    <row r="20" spans="2:26" ht="15" customHeight="1" x14ac:dyDescent="0.2">
      <c r="G20" s="222"/>
      <c r="W20" s="26"/>
      <c r="X20" s="26"/>
      <c r="Y20" s="26"/>
      <c r="Z20" s="26"/>
    </row>
    <row r="21" spans="2:26" ht="15" customHeight="1" x14ac:dyDescent="0.2">
      <c r="D21" s="298" t="s">
        <v>1702</v>
      </c>
      <c r="G21" s="224">
        <v>20</v>
      </c>
      <c r="H21" s="305" t="s">
        <v>559</v>
      </c>
      <c r="J21" s="277" t="str">
        <f>IF(G12&lt;80,"20 - 00 - 30",IF(AND(G12&gt;=80,G12&lt;150),"20 - 00 - 20",IF(AND(G12&gt;=150,G12&lt;200),"20 - 00 - 15",IF(AND(G12&gt;=200,G12&lt;280),"20 - 00 - 10","Sulf. Amônio"))))</f>
        <v>20 - 00 - 15</v>
      </c>
      <c r="W21" s="171">
        <v>60</v>
      </c>
      <c r="X21" s="26" t="s">
        <v>343</v>
      </c>
      <c r="Y21" s="171"/>
      <c r="Z21" s="26"/>
    </row>
    <row r="22" spans="2:26" ht="15" customHeight="1" x14ac:dyDescent="0.2">
      <c r="G22" s="224" t="str">
        <f>W22</f>
        <v>100</v>
      </c>
      <c r="H22" s="213" t="s">
        <v>1302</v>
      </c>
      <c r="I22" s="303"/>
      <c r="J22" s="218"/>
      <c r="K22" s="271"/>
      <c r="W22" s="171" t="str">
        <f>IF(G11&lt;10,"100",IF(AND(G11&gt;=10,G11&lt;20),"800",IF(AND(G11&gt;=20,G11&lt;100),"60",IF(AND(G11&gt;=100,G11&lt;200),"50",0))))</f>
        <v>100</v>
      </c>
      <c r="X22" s="26" t="s">
        <v>344</v>
      </c>
      <c r="Y22" s="171"/>
      <c r="Z22" s="26"/>
    </row>
    <row r="23" spans="2:26" ht="15" customHeight="1" x14ac:dyDescent="0.2">
      <c r="G23" s="224">
        <v>5</v>
      </c>
      <c r="H23" s="49" t="s">
        <v>1303</v>
      </c>
      <c r="I23" s="208"/>
      <c r="J23" s="218"/>
      <c r="K23" s="306"/>
      <c r="O23" s="171"/>
      <c r="P23" s="26"/>
      <c r="Q23" s="171"/>
      <c r="R23" s="26"/>
    </row>
    <row r="24" spans="2:26" ht="15" customHeight="1" x14ac:dyDescent="0.2">
      <c r="G24" s="289"/>
      <c r="H24" s="271"/>
      <c r="I24" s="297"/>
      <c r="J24" s="310"/>
      <c r="O24" s="26"/>
      <c r="P24" s="26"/>
      <c r="Q24" s="171"/>
      <c r="R24" s="26"/>
    </row>
    <row r="25" spans="2:26" ht="15" customHeight="1" x14ac:dyDescent="0.2">
      <c r="D25" s="60" t="s">
        <v>342</v>
      </c>
      <c r="G25" s="224">
        <v>30</v>
      </c>
      <c r="H25" s="305" t="s">
        <v>559</v>
      </c>
      <c r="J25" s="277" t="str">
        <f>J21</f>
        <v>20 - 00 - 15</v>
      </c>
    </row>
    <row r="26" spans="2:26" ht="15" customHeight="1" x14ac:dyDescent="0.2">
      <c r="H26" s="281"/>
      <c r="I26" s="308"/>
      <c r="N26" s="27"/>
    </row>
    <row r="27" spans="2:26" ht="15" customHeight="1" x14ac:dyDescent="0.2">
      <c r="H27" s="281"/>
      <c r="I27" s="308"/>
      <c r="N27" s="27"/>
    </row>
    <row r="28" spans="2:26" s="60" customFormat="1" ht="15" customHeight="1" x14ac:dyDescent="0.2">
      <c r="D28" s="226" t="s">
        <v>891</v>
      </c>
      <c r="E28" s="771">
        <f ca="1">TODAY()</f>
        <v>45064</v>
      </c>
      <c r="F28" s="772"/>
      <c r="G28" s="60" t="s">
        <v>373</v>
      </c>
    </row>
    <row r="29" spans="2:26" s="60" customFormat="1" ht="15" customHeight="1" x14ac:dyDescent="0.2">
      <c r="D29" s="267"/>
    </row>
    <row r="30" spans="2:26" s="60" customFormat="1" ht="15" hidden="1" customHeight="1" x14ac:dyDescent="0.2">
      <c r="B30" s="267"/>
    </row>
    <row r="31" spans="2:26" s="60" customFormat="1" ht="15" hidden="1" customHeight="1" x14ac:dyDescent="0.2">
      <c r="B31" s="267"/>
    </row>
    <row r="32" spans="2:26" s="60" customFormat="1" ht="15" hidden="1" customHeight="1" x14ac:dyDescent="0.2">
      <c r="B32" s="267"/>
    </row>
    <row r="33" spans="2:7" s="60" customFormat="1" ht="15" hidden="1" customHeight="1" x14ac:dyDescent="0.2">
      <c r="B33" s="267"/>
    </row>
    <row r="34" spans="2:7" ht="15" hidden="1" customHeight="1" x14ac:dyDescent="0.2"/>
    <row r="35" spans="2:7" ht="15" hidden="1" customHeight="1" x14ac:dyDescent="0.2"/>
    <row r="36" spans="2:7" s="60" customFormat="1" ht="15" hidden="1" customHeight="1" x14ac:dyDescent="0.2">
      <c r="B36" s="267"/>
      <c r="G36" s="266"/>
    </row>
    <row r="37" spans="2:7" ht="15" hidden="1" customHeight="1" x14ac:dyDescent="0.2"/>
    <row r="38" spans="2:7" ht="15" hidden="1" customHeight="1" x14ac:dyDescent="0.2"/>
    <row r="39" spans="2:7" ht="15" hidden="1" customHeight="1" x14ac:dyDescent="0.2">
      <c r="B39" s="320"/>
      <c r="D39" s="267"/>
      <c r="E39" s="60"/>
      <c r="F39" s="60"/>
    </row>
    <row r="40" spans="2:7" ht="15" hidden="1" customHeight="1" x14ac:dyDescent="0.2">
      <c r="C40" s="267"/>
      <c r="D40" s="267"/>
      <c r="E40" s="60"/>
      <c r="F40" s="60"/>
    </row>
    <row r="41" spans="2:7" ht="15" hidden="1" customHeight="1" x14ac:dyDescent="0.2">
      <c r="C41" s="267"/>
      <c r="D41" s="267"/>
      <c r="E41" s="60"/>
      <c r="F41" s="60"/>
    </row>
    <row r="42" spans="2:7" ht="15" hidden="1" customHeight="1" x14ac:dyDescent="0.2">
      <c r="C42" s="267"/>
      <c r="D42" s="267"/>
      <c r="E42" s="60"/>
      <c r="F42" s="60"/>
    </row>
    <row r="43" spans="2:7" ht="15" hidden="1" customHeight="1" x14ac:dyDescent="0.2">
      <c r="C43" s="267"/>
      <c r="D43" s="267"/>
      <c r="E43" s="60"/>
      <c r="F43" s="60"/>
    </row>
    <row r="44" spans="2:7" ht="15" hidden="1" customHeight="1" x14ac:dyDescent="0.2">
      <c r="C44" s="267"/>
      <c r="D44" s="267"/>
      <c r="E44" s="60"/>
      <c r="F44" s="60"/>
    </row>
    <row r="45" spans="2:7" ht="15" hidden="1" customHeight="1" x14ac:dyDescent="0.2">
      <c r="C45" s="267"/>
      <c r="D45" s="267"/>
      <c r="E45" s="60"/>
      <c r="F45" s="60"/>
    </row>
    <row r="46" spans="2:7" ht="15" hidden="1" customHeight="1" x14ac:dyDescent="0.2">
      <c r="C46" s="267"/>
      <c r="D46" s="267"/>
      <c r="E46" s="60"/>
      <c r="F46" s="60"/>
    </row>
    <row r="47" spans="2:7" ht="15" hidden="1" customHeight="1" x14ac:dyDescent="0.2">
      <c r="C47" s="267"/>
      <c r="D47" s="267"/>
      <c r="E47" s="60"/>
      <c r="F47" s="60"/>
    </row>
    <row r="48" spans="2:7" ht="15" hidden="1" customHeight="1" x14ac:dyDescent="0.2">
      <c r="C48" s="267"/>
      <c r="D48" s="267"/>
      <c r="E48" s="60"/>
      <c r="F48" s="60"/>
    </row>
  </sheetData>
  <sheetProtection algorithmName="SHA-512" hashValue="2aRBvPtFqMllcNyLPxQHLXCeHyxMVpNRjzJgeIsaNgBwPgtSwy9khhb7rmA8IVUW4hIYfndUW2dALvLrY9t6vg==" saltValue="RScLlMbaE5pB8i2Fg0BBuw==" spinCount="100000" sheet="1" objects="1" scenarios="1" selectLockedCells="1"/>
  <mergeCells count="3">
    <mergeCell ref="E6:L6"/>
    <mergeCell ref="E8:M8"/>
    <mergeCell ref="E28:F2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rowBreaks count="1" manualBreakCount="1">
    <brk id="33" max="8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>
    <pageSetUpPr fitToPage="1"/>
  </sheetPr>
  <dimension ref="A1:Y4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1914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B9" s="291"/>
      <c r="C9" s="291"/>
      <c r="D9" s="291"/>
      <c r="E9" s="291"/>
      <c r="F9" s="291"/>
      <c r="G9" s="291"/>
      <c r="H9" s="291"/>
      <c r="I9" s="291"/>
      <c r="J9" s="309"/>
    </row>
    <row r="10" spans="1:16" ht="15" customHeight="1" x14ac:dyDescent="0.2"/>
    <row r="11" spans="1:16" ht="15" customHeight="1" x14ac:dyDescent="0.2">
      <c r="D11" s="60" t="s">
        <v>1208</v>
      </c>
      <c r="F11" s="273" t="s">
        <v>2286</v>
      </c>
      <c r="H11" s="318"/>
      <c r="I11" s="27"/>
      <c r="J11" s="299"/>
      <c r="K11" s="27"/>
      <c r="L11" s="27"/>
    </row>
    <row r="12" spans="1:16" ht="15" customHeight="1" x14ac:dyDescent="0.2">
      <c r="I12" s="27"/>
      <c r="J12" s="299"/>
      <c r="K12" s="27"/>
      <c r="L12" s="27"/>
    </row>
    <row r="13" spans="1:16" ht="15" customHeight="1" x14ac:dyDescent="0.2">
      <c r="D13" s="298" t="s">
        <v>1703</v>
      </c>
      <c r="G13" s="237">
        <v>25</v>
      </c>
      <c r="H13" s="298" t="s">
        <v>1873</v>
      </c>
    </row>
    <row r="14" spans="1:16" ht="15" customHeight="1" x14ac:dyDescent="0.2">
      <c r="G14" s="237">
        <v>150</v>
      </c>
      <c r="H14" s="298" t="s">
        <v>1874</v>
      </c>
    </row>
    <row r="15" spans="1:16" ht="15" customHeight="1" x14ac:dyDescent="0.3">
      <c r="G15" s="7">
        <v>8.9499999999999993</v>
      </c>
      <c r="H15" s="298" t="s">
        <v>1881</v>
      </c>
    </row>
    <row r="16" spans="1:16" ht="15" customHeight="1" x14ac:dyDescent="0.2">
      <c r="G16" s="10">
        <v>40</v>
      </c>
      <c r="H16" s="298" t="s">
        <v>339</v>
      </c>
    </row>
    <row r="17" spans="4:25" ht="15" customHeight="1" x14ac:dyDescent="0.2">
      <c r="G17" s="265"/>
      <c r="H17" s="49"/>
    </row>
    <row r="18" spans="4:25" ht="15" customHeight="1" x14ac:dyDescent="0.2">
      <c r="D18" s="60" t="s">
        <v>340</v>
      </c>
      <c r="G18" s="237">
        <v>90</v>
      </c>
      <c r="H18" s="49" t="s">
        <v>341</v>
      </c>
    </row>
    <row r="19" spans="4:25" ht="15" customHeight="1" x14ac:dyDescent="0.2"/>
    <row r="20" spans="4:25" ht="15" customHeight="1" x14ac:dyDescent="0.25">
      <c r="D20" s="291" t="s">
        <v>371</v>
      </c>
      <c r="E20" s="291"/>
      <c r="F20" s="291"/>
      <c r="G20" s="291"/>
      <c r="H20" s="291"/>
      <c r="I20" s="27"/>
      <c r="O20" s="213"/>
    </row>
    <row r="21" spans="4:25" s="213" customFormat="1" ht="15" customHeight="1" x14ac:dyDescent="0.2">
      <c r="D21" s="298" t="s">
        <v>1708</v>
      </c>
      <c r="G21" s="286">
        <f>IF(W21&gt;0,W21,0)</f>
        <v>2.9833333333333334</v>
      </c>
      <c r="H21" s="300" t="s">
        <v>349</v>
      </c>
      <c r="I21" s="303"/>
      <c r="W21" s="315">
        <f xml:space="preserve"> G15*(70-G16)/G18</f>
        <v>2.9833333333333334</v>
      </c>
      <c r="X21" s="49" t="s">
        <v>119</v>
      </c>
      <c r="Y21" s="49"/>
    </row>
    <row r="22" spans="4:25" ht="15" customHeight="1" x14ac:dyDescent="0.2">
      <c r="G22" s="222"/>
    </row>
    <row r="23" spans="4:25" ht="15" customHeight="1" x14ac:dyDescent="0.2">
      <c r="D23" s="298" t="s">
        <v>1701</v>
      </c>
      <c r="G23" s="224">
        <v>8</v>
      </c>
      <c r="H23" s="305" t="s">
        <v>805</v>
      </c>
      <c r="I23" s="221"/>
      <c r="M23" s="208"/>
      <c r="N23" s="27"/>
    </row>
    <row r="24" spans="4:25" ht="15" customHeight="1" x14ac:dyDescent="0.2">
      <c r="G24" s="224" t="str">
        <f>IF(G13&lt;20,"230",IF(AND(G13&gt;=20,G13&lt;60),"180",IF(AND(G13&gt;=60,G13&lt;100),"130",IF(AND(G13&gt;=100,G13&lt;150),"80",0))))</f>
        <v>180</v>
      </c>
      <c r="H24" s="213" t="s">
        <v>806</v>
      </c>
      <c r="I24" s="303"/>
      <c r="J24" s="218"/>
      <c r="K24" s="271"/>
      <c r="L24" s="271"/>
      <c r="M24" s="263"/>
      <c r="N24" s="27"/>
      <c r="O24" s="27"/>
    </row>
    <row r="25" spans="4:25" ht="15" customHeight="1" x14ac:dyDescent="0.2">
      <c r="G25" s="224">
        <v>10</v>
      </c>
      <c r="H25" s="213" t="s">
        <v>1053</v>
      </c>
      <c r="I25" s="208"/>
      <c r="J25" s="218"/>
      <c r="K25" s="306"/>
      <c r="L25" s="27"/>
      <c r="M25" s="263"/>
    </row>
    <row r="26" spans="4:25" ht="15" customHeight="1" x14ac:dyDescent="0.2">
      <c r="G26" s="169"/>
      <c r="M26" s="263"/>
    </row>
    <row r="27" spans="4:25" ht="15" customHeight="1" x14ac:dyDescent="0.2">
      <c r="D27" s="60" t="s">
        <v>342</v>
      </c>
      <c r="G27" s="224">
        <v>15</v>
      </c>
      <c r="H27" s="266" t="s">
        <v>1296</v>
      </c>
      <c r="I27" s="222" t="str">
        <f>IF(G14&lt;80,"20-00-30",IF(AND(G14&gt;=80,G14&lt;150),"20-00-20",IF(AND(G14&gt;=150,G14&lt;200),"20-00-15",IF(AND(G14&gt;=200,G14&lt;280),"20-00-10","Sulf. Amônio"))))</f>
        <v>20-00-15</v>
      </c>
      <c r="J27" s="308" t="s">
        <v>191</v>
      </c>
      <c r="M27" s="263"/>
      <c r="N27" s="27"/>
    </row>
    <row r="28" spans="4:25" ht="15" customHeight="1" x14ac:dyDescent="0.2">
      <c r="E28" s="27"/>
      <c r="F28" s="27"/>
      <c r="G28" s="224">
        <v>20</v>
      </c>
      <c r="H28" s="266" t="s">
        <v>1297</v>
      </c>
      <c r="I28" s="222" t="str">
        <f>I27</f>
        <v>20-00-15</v>
      </c>
      <c r="J28" s="308" t="s">
        <v>1206</v>
      </c>
      <c r="M28" s="27"/>
    </row>
    <row r="29" spans="4:25" ht="15" customHeight="1" x14ac:dyDescent="0.2">
      <c r="E29" s="27"/>
      <c r="F29" s="27"/>
      <c r="G29" s="224">
        <v>25</v>
      </c>
      <c r="H29" s="266" t="s">
        <v>1297</v>
      </c>
      <c r="I29" s="222" t="str">
        <f>I27</f>
        <v>20-00-15</v>
      </c>
      <c r="J29" s="308" t="s">
        <v>289</v>
      </c>
      <c r="M29" s="27"/>
    </row>
    <row r="30" spans="4:25" ht="15" customHeight="1" x14ac:dyDescent="0.2">
      <c r="E30" s="27"/>
      <c r="F30" s="27"/>
      <c r="G30" s="224"/>
      <c r="I30" s="221"/>
      <c r="J30" s="308"/>
      <c r="M30" s="27"/>
    </row>
    <row r="31" spans="4:25" ht="15" customHeight="1" x14ac:dyDescent="0.2">
      <c r="D31" s="169"/>
    </row>
    <row r="32" spans="4:25" ht="15" customHeight="1" x14ac:dyDescent="0.2"/>
    <row r="33" spans="3:15" ht="15" customHeight="1" x14ac:dyDescent="0.2"/>
    <row r="34" spans="3:15" ht="15" customHeight="1" x14ac:dyDescent="0.2"/>
    <row r="35" spans="3:15" ht="15" customHeight="1" x14ac:dyDescent="0.2"/>
    <row r="36" spans="3:15" s="60" customFormat="1" ht="15" customHeight="1" x14ac:dyDescent="0.2">
      <c r="D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3:15" s="60" customFormat="1" ht="15" customHeight="1" x14ac:dyDescent="0.2"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</row>
    <row r="38" spans="3:15" s="60" customFormat="1" ht="15" customHeight="1" x14ac:dyDescent="0.2">
      <c r="D38" s="225" t="s">
        <v>891</v>
      </c>
      <c r="E38" s="771">
        <f ca="1">TODAY()</f>
        <v>45064</v>
      </c>
      <c r="F38" s="772"/>
      <c r="G38" s="298" t="s">
        <v>1915</v>
      </c>
      <c r="I38" s="266"/>
      <c r="J38" s="266"/>
      <c r="K38" s="266"/>
      <c r="L38" s="266"/>
      <c r="M38" s="266"/>
      <c r="N38" s="266"/>
      <c r="O38" s="266"/>
    </row>
    <row r="39" spans="3:15" s="60" customFormat="1" ht="15" customHeight="1" x14ac:dyDescent="0.2">
      <c r="E39" s="267"/>
    </row>
    <row r="40" spans="3:15" s="60" customFormat="1" ht="15" hidden="1" customHeight="1" x14ac:dyDescent="0.2">
      <c r="E40" s="267"/>
    </row>
    <row r="41" spans="3:15" s="60" customFormat="1" ht="15" hidden="1" customHeight="1" x14ac:dyDescent="0.2">
      <c r="E41" s="267"/>
    </row>
    <row r="42" spans="3:15" ht="15" hidden="1" customHeight="1" x14ac:dyDescent="0.2"/>
    <row r="43" spans="3:15" ht="15" hidden="1" customHeight="1" x14ac:dyDescent="0.2"/>
    <row r="44" spans="3:15" s="60" customFormat="1" ht="15" hidden="1" customHeight="1" x14ac:dyDescent="0.2">
      <c r="C44" s="267"/>
      <c r="H44" s="266"/>
    </row>
    <row r="45" spans="3:15" ht="15" hidden="1" customHeight="1" x14ac:dyDescent="0.2"/>
  </sheetData>
  <sheetProtection algorithmName="SHA-512" hashValue="mruHbLHPlqJY+rraqI2fvlJJHpj8wwko29FGJvvs8q9g8RoEvUOvjoaAsi/4IqTegP47rPgU/ggke5Y2tPcDxA==" saltValue="TSdOodx/d4E2ioh5xnt0xQ==" spinCount="100000" sheet="1" objects="1" scenarios="1" selectLockedCells="1"/>
  <mergeCells count="3">
    <mergeCell ref="E6:L6"/>
    <mergeCell ref="E8:M8"/>
    <mergeCell ref="E38:F3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>
    <pageSetUpPr fitToPage="1"/>
  </sheetPr>
  <dimension ref="A1:Z46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1913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C9" s="27"/>
      <c r="D9" s="326"/>
      <c r="E9" s="326"/>
      <c r="F9" s="326"/>
      <c r="G9" s="326"/>
      <c r="H9" s="326"/>
      <c r="I9" s="326"/>
      <c r="J9" s="326"/>
      <c r="K9" s="326"/>
    </row>
    <row r="10" spans="1:16" ht="15" customHeight="1" x14ac:dyDescent="0.2">
      <c r="C10" s="27"/>
      <c r="D10" s="27"/>
      <c r="E10" s="27"/>
      <c r="F10" s="27"/>
      <c r="G10" s="27"/>
      <c r="H10" s="27"/>
      <c r="I10" s="27"/>
      <c r="J10" s="27"/>
      <c r="K10" s="27"/>
    </row>
    <row r="11" spans="1:16" ht="15" customHeight="1" x14ac:dyDescent="0.2">
      <c r="C11" s="27"/>
      <c r="D11" s="298" t="s">
        <v>1208</v>
      </c>
      <c r="G11" s="237">
        <v>1.2</v>
      </c>
      <c r="H11" s="298" t="s">
        <v>2070</v>
      </c>
      <c r="I11" s="5">
        <v>0.8</v>
      </c>
      <c r="J11" s="49" t="s">
        <v>2100</v>
      </c>
      <c r="K11" s="299">
        <f>10000/(G11*I11)</f>
        <v>10416.666666666668</v>
      </c>
      <c r="L11" s="266" t="s">
        <v>353</v>
      </c>
      <c r="O11" s="27"/>
    </row>
    <row r="12" spans="1:16" ht="15" customHeight="1" x14ac:dyDescent="0.2">
      <c r="C12" s="27"/>
      <c r="G12" s="265"/>
      <c r="H12" s="271"/>
      <c r="I12" s="271"/>
      <c r="O12" s="27"/>
    </row>
    <row r="13" spans="1:16" ht="15" customHeight="1" x14ac:dyDescent="0.2">
      <c r="C13" s="27"/>
      <c r="D13" s="60" t="s">
        <v>338</v>
      </c>
      <c r="G13" s="237">
        <v>5</v>
      </c>
      <c r="H13" s="49" t="s">
        <v>1873</v>
      </c>
      <c r="I13" s="271"/>
      <c r="O13" s="27"/>
    </row>
    <row r="14" spans="1:16" ht="15" customHeight="1" x14ac:dyDescent="0.2">
      <c r="C14" s="27"/>
      <c r="G14" s="237">
        <v>150</v>
      </c>
      <c r="H14" s="49" t="s">
        <v>1874</v>
      </c>
      <c r="I14" s="271"/>
      <c r="O14" s="27"/>
    </row>
    <row r="15" spans="1:16" ht="15" customHeight="1" x14ac:dyDescent="0.3">
      <c r="C15" s="27"/>
      <c r="G15" s="237">
        <v>8</v>
      </c>
      <c r="H15" s="49" t="s">
        <v>1908</v>
      </c>
      <c r="I15" s="271"/>
      <c r="O15" s="27"/>
    </row>
    <row r="16" spans="1:16" ht="15" customHeight="1" x14ac:dyDescent="0.2">
      <c r="C16" s="27"/>
      <c r="G16" s="237">
        <v>15</v>
      </c>
      <c r="H16" s="49" t="s">
        <v>339</v>
      </c>
      <c r="I16" s="271"/>
      <c r="O16" s="27"/>
    </row>
    <row r="17" spans="3:26" ht="15" customHeight="1" x14ac:dyDescent="0.2">
      <c r="C17" s="27"/>
      <c r="G17" s="265"/>
      <c r="H17" s="49"/>
      <c r="I17" s="271"/>
      <c r="O17" s="27"/>
    </row>
    <row r="18" spans="3:26" ht="15" customHeight="1" x14ac:dyDescent="0.2">
      <c r="C18" s="27"/>
      <c r="D18" s="60" t="s">
        <v>340</v>
      </c>
      <c r="G18" s="237">
        <v>90</v>
      </c>
      <c r="H18" s="49" t="s">
        <v>341</v>
      </c>
      <c r="I18" s="271"/>
      <c r="O18" s="27"/>
    </row>
    <row r="19" spans="3:26" ht="15" customHeight="1" x14ac:dyDescent="0.2">
      <c r="C19" s="27"/>
      <c r="F19" s="265"/>
      <c r="H19" s="49"/>
      <c r="O19" s="27"/>
    </row>
    <row r="20" spans="3:26" ht="15" customHeight="1" x14ac:dyDescent="0.25">
      <c r="C20" s="27"/>
      <c r="D20" s="291" t="s">
        <v>371</v>
      </c>
      <c r="E20" s="291"/>
      <c r="F20" s="291"/>
      <c r="G20" s="291"/>
      <c r="H20" s="302"/>
      <c r="I20" s="27"/>
      <c r="O20" s="27"/>
      <c r="Y20" s="315">
        <f xml:space="preserve"> G15*(60-G16)/G18</f>
        <v>4</v>
      </c>
      <c r="Z20" s="49" t="s">
        <v>119</v>
      </c>
    </row>
    <row r="21" spans="3:26" s="213" customFormat="1" ht="15" customHeight="1" x14ac:dyDescent="0.2">
      <c r="C21" s="304"/>
      <c r="D21" s="294" t="s">
        <v>348</v>
      </c>
      <c r="G21" s="286">
        <f>IF(Y20&gt;0,Y20,0)</f>
        <v>4</v>
      </c>
      <c r="H21" s="357" t="s">
        <v>349</v>
      </c>
      <c r="I21" s="303"/>
      <c r="R21" s="304"/>
    </row>
    <row r="22" spans="3:26" ht="15" customHeight="1" x14ac:dyDescent="0.2">
      <c r="C22" s="27"/>
      <c r="F22" s="225"/>
      <c r="G22" s="222"/>
      <c r="P22" s="27"/>
      <c r="R22" s="27"/>
    </row>
    <row r="23" spans="3:26" ht="15" customHeight="1" x14ac:dyDescent="0.2">
      <c r="C23" s="27"/>
      <c r="D23" s="298" t="s">
        <v>1696</v>
      </c>
      <c r="G23" s="224">
        <v>10</v>
      </c>
      <c r="H23" s="305" t="s">
        <v>558</v>
      </c>
      <c r="I23" s="222" t="str">
        <f>IF(G14&lt;80,"20-00-30",IF(AND(G14&gt;=80,G14&lt;150),"20-00-20",IF(AND(G14&gt;=150,G14&lt;200),"20-00-15",IF(AND(G14&gt;=200,G14&lt;280),"20-00-10","Sulf. Amônio"))))</f>
        <v>20-00-15</v>
      </c>
      <c r="J23" s="49" t="s">
        <v>1909</v>
      </c>
      <c r="R23" s="27"/>
    </row>
    <row r="24" spans="3:26" ht="15" customHeight="1" x14ac:dyDescent="0.2">
      <c r="C24" s="27"/>
      <c r="D24" s="60"/>
      <c r="G24" s="224" t="str">
        <f>IF(G13&lt;20,"150",IF(AND(G13&gt;=20,G13&lt;60),"100",IF(AND(G13&gt;=60,G13&lt;100),"80",IF(AND(G13&gt;=100,G13&lt;150),"50",0))))</f>
        <v>150</v>
      </c>
      <c r="H24" s="49" t="s">
        <v>1910</v>
      </c>
      <c r="I24" s="303"/>
      <c r="J24" s="218"/>
      <c r="K24" s="271"/>
      <c r="L24" s="271"/>
      <c r="P24" s="263"/>
      <c r="Q24" s="27"/>
      <c r="R24" s="27"/>
    </row>
    <row r="25" spans="3:26" ht="15" customHeight="1" x14ac:dyDescent="0.2">
      <c r="C25" s="27"/>
      <c r="D25" s="60"/>
      <c r="G25" s="224">
        <f>(40/K11)*1000</f>
        <v>3.84</v>
      </c>
      <c r="H25" s="49" t="s">
        <v>1911</v>
      </c>
      <c r="I25" s="208"/>
      <c r="J25" s="218"/>
      <c r="K25" s="306"/>
      <c r="L25" s="27"/>
      <c r="O25" s="263"/>
      <c r="P25" s="27"/>
      <c r="Q25" s="263"/>
      <c r="R25" s="27"/>
    </row>
    <row r="26" spans="3:26" ht="15" customHeight="1" x14ac:dyDescent="0.2">
      <c r="C26" s="27"/>
      <c r="D26" s="60"/>
      <c r="G26" s="169"/>
      <c r="N26" s="263"/>
      <c r="O26" s="27"/>
      <c r="P26" s="27"/>
    </row>
    <row r="27" spans="3:26" ht="15" customHeight="1" x14ac:dyDescent="0.2">
      <c r="C27" s="27"/>
      <c r="D27" s="60" t="s">
        <v>342</v>
      </c>
      <c r="G27" s="224">
        <v>5</v>
      </c>
      <c r="H27" s="265" t="s">
        <v>150</v>
      </c>
      <c r="I27" s="222" t="str">
        <f>I23</f>
        <v>20-00-15</v>
      </c>
      <c r="J27" s="308" t="s">
        <v>151</v>
      </c>
      <c r="N27" s="263"/>
      <c r="O27" s="27"/>
    </row>
    <row r="28" spans="3:26" ht="15" customHeight="1" x14ac:dyDescent="0.2">
      <c r="C28" s="27"/>
      <c r="G28" s="224">
        <v>10</v>
      </c>
      <c r="H28" s="265" t="s">
        <v>150</v>
      </c>
      <c r="I28" s="222" t="str">
        <f>I23</f>
        <v>20-00-15</v>
      </c>
      <c r="J28" s="308" t="s">
        <v>971</v>
      </c>
      <c r="O28" s="27"/>
    </row>
    <row r="29" spans="3:26" ht="15" customHeight="1" x14ac:dyDescent="0.2">
      <c r="C29" s="27"/>
      <c r="F29" s="222"/>
      <c r="H29" s="221"/>
      <c r="I29" s="308"/>
      <c r="O29" s="27"/>
    </row>
    <row r="30" spans="3:26" ht="15" customHeight="1" x14ac:dyDescent="0.2">
      <c r="C30" s="27"/>
      <c r="D30" s="169"/>
      <c r="O30" s="27"/>
    </row>
    <row r="31" spans="3:26" ht="15" customHeight="1" x14ac:dyDescent="0.2">
      <c r="C31" s="27"/>
      <c r="O31" s="27"/>
    </row>
    <row r="32" spans="3:26" ht="15" customHeight="1" x14ac:dyDescent="0.2">
      <c r="C32" s="27"/>
      <c r="O32" s="27"/>
    </row>
    <row r="33" spans="2:11" ht="15" customHeight="1" x14ac:dyDescent="0.2">
      <c r="C33" s="27"/>
    </row>
    <row r="34" spans="2:11" ht="1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</row>
    <row r="36" spans="2:11" s="60" customFormat="1" ht="15" customHeight="1" x14ac:dyDescent="0.2">
      <c r="C36" s="296"/>
      <c r="D36" s="226" t="s">
        <v>891</v>
      </c>
      <c r="E36" s="771">
        <f ca="1">TODAY()</f>
        <v>45064</v>
      </c>
      <c r="F36" s="772"/>
      <c r="G36" s="296" t="s">
        <v>373</v>
      </c>
      <c r="H36" s="296"/>
      <c r="I36" s="296"/>
      <c r="J36" s="296"/>
    </row>
    <row r="37" spans="2:11" s="60" customFormat="1" ht="15" customHeight="1" x14ac:dyDescent="0.2">
      <c r="C37" s="296"/>
      <c r="D37" s="267"/>
      <c r="E37" s="296"/>
      <c r="F37" s="296"/>
      <c r="G37" s="296"/>
      <c r="H37" s="773"/>
      <c r="I37" s="773"/>
      <c r="J37" s="773"/>
      <c r="K37" s="773"/>
    </row>
    <row r="38" spans="2:11" s="60" customFormat="1" ht="15" hidden="1" customHeight="1" x14ac:dyDescent="0.2">
      <c r="C38" s="296"/>
      <c r="D38" s="267"/>
      <c r="E38" s="296"/>
      <c r="F38" s="296"/>
      <c r="G38" s="296"/>
      <c r="H38" s="296"/>
      <c r="I38" s="296"/>
      <c r="J38" s="296"/>
      <c r="K38" s="296"/>
    </row>
    <row r="39" spans="2:11" ht="15" hidden="1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</row>
    <row r="40" spans="2:11" ht="15" hidden="1" customHeight="1" x14ac:dyDescent="0.2"/>
    <row r="41" spans="2:11" s="60" customFormat="1" ht="15" hidden="1" customHeight="1" x14ac:dyDescent="0.2">
      <c r="B41" s="267"/>
      <c r="G41" s="266"/>
    </row>
    <row r="42" spans="2:11" ht="15" hidden="1" customHeight="1" x14ac:dyDescent="0.2">
      <c r="C42" s="267"/>
      <c r="D42" s="267"/>
      <c r="E42" s="60"/>
      <c r="F42" s="60"/>
    </row>
    <row r="43" spans="2:11" ht="15" hidden="1" customHeight="1" x14ac:dyDescent="0.2"/>
    <row r="44" spans="2:11" ht="15" hidden="1" customHeight="1" x14ac:dyDescent="0.2"/>
    <row r="45" spans="2:11" ht="15" hidden="1" customHeight="1" x14ac:dyDescent="0.2"/>
    <row r="46" spans="2:11" ht="15" hidden="1" customHeight="1" x14ac:dyDescent="0.2"/>
  </sheetData>
  <sheetProtection algorithmName="SHA-512" hashValue="Ay9LjMv2Rr2Aw/ketQs+jdln/hxu7GcKoP3N3opUsyl0ynA1KQW7sd18ryxOuZP2qfOQWZNmzUXzOarACB98+Q==" saltValue="z2e892ucym1Gzo5b7gSCNA==" spinCount="100000" sheet="1" objects="1" scenarios="1" selectLockedCells="1"/>
  <mergeCells count="4">
    <mergeCell ref="H37:K37"/>
    <mergeCell ref="E6:L6"/>
    <mergeCell ref="E8:M8"/>
    <mergeCell ref="E36:F3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T30"/>
  <sheetViews>
    <sheetView showGridLines="0" showRowColHeaders="0" zoomScaleNormal="100" workbookViewId="0">
      <selection activeCell="E7" sqref="E7:M7"/>
    </sheetView>
  </sheetViews>
  <sheetFormatPr defaultColWidth="0" defaultRowHeight="12.75" zeroHeight="1" x14ac:dyDescent="0.2"/>
  <cols>
    <col min="1" max="16" width="9.140625" style="266" customWidth="1"/>
    <col min="17" max="16384" width="9.140625" style="266" hidden="1"/>
  </cols>
  <sheetData>
    <row r="1" spans="1:20" s="27" customFormat="1" ht="24.95" customHeight="1" x14ac:dyDescent="0.2"/>
    <row r="2" spans="1:20" s="27" customFormat="1" ht="24.95" customHeight="1" x14ac:dyDescent="0.2"/>
    <row r="3" spans="1:20" s="27" customFormat="1" ht="24.95" customHeight="1" x14ac:dyDescent="0.2"/>
    <row r="4" spans="1:20" s="27" customFormat="1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0" s="27" customFormat="1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0" ht="24.95" customHeight="1" x14ac:dyDescent="0.2">
      <c r="G6" s="688" t="s">
        <v>1755</v>
      </c>
      <c r="H6" s="688"/>
      <c r="I6" s="688"/>
      <c r="J6" s="688"/>
    </row>
    <row r="7" spans="1:20" ht="20.100000000000001" customHeight="1" x14ac:dyDescent="0.2">
      <c r="D7" s="227" t="s">
        <v>1313</v>
      </c>
      <c r="E7" s="696"/>
      <c r="F7" s="696"/>
      <c r="G7" s="696"/>
      <c r="H7" s="696"/>
      <c r="I7" s="696"/>
      <c r="J7" s="696"/>
      <c r="K7" s="696"/>
      <c r="L7" s="696"/>
      <c r="M7" s="696"/>
    </row>
    <row r="8" spans="1:20" s="379" customFormat="1" ht="20.100000000000001" customHeight="1" x14ac:dyDescent="0.25">
      <c r="B8" s="380"/>
      <c r="C8" s="380"/>
      <c r="D8" s="227" t="s">
        <v>832</v>
      </c>
      <c r="E8" s="697"/>
      <c r="F8" s="697"/>
      <c r="G8" s="697"/>
      <c r="H8" s="697"/>
      <c r="I8" s="697"/>
      <c r="J8" s="697"/>
      <c r="K8" s="697"/>
      <c r="L8" s="697"/>
      <c r="M8" s="697"/>
    </row>
    <row r="9" spans="1:20" ht="20.100000000000001" customHeight="1" x14ac:dyDescent="0.2"/>
    <row r="10" spans="1:20" s="34" customFormat="1" ht="20.100000000000001" customHeight="1" x14ac:dyDescent="0.2">
      <c r="H10" s="381" t="s">
        <v>1757</v>
      </c>
    </row>
    <row r="11" spans="1:20" ht="20.100000000000001" customHeight="1" x14ac:dyDescent="0.2"/>
    <row r="12" spans="1:20" ht="20.100000000000001" customHeight="1" x14ac:dyDescent="0.2">
      <c r="E12" s="290"/>
      <c r="H12" s="2">
        <v>20</v>
      </c>
      <c r="I12" s="97" t="s">
        <v>1759</v>
      </c>
      <c r="S12" s="209">
        <f>(H12/390)+H13+H14</f>
        <v>2.2512820512820513</v>
      </c>
      <c r="T12" s="266" t="s">
        <v>292</v>
      </c>
    </row>
    <row r="13" spans="1:20" ht="20.100000000000001" customHeight="1" x14ac:dyDescent="0.2">
      <c r="E13" s="290"/>
      <c r="H13" s="2">
        <v>1.8</v>
      </c>
      <c r="I13" s="97" t="s">
        <v>1760</v>
      </c>
      <c r="S13" s="209">
        <f>(H12/390)+H13+H14+H16</f>
        <v>4.0512820512820511</v>
      </c>
      <c r="T13" s="266" t="s">
        <v>293</v>
      </c>
    </row>
    <row r="14" spans="1:20" ht="20.100000000000001" customHeight="1" x14ac:dyDescent="0.2">
      <c r="E14" s="290"/>
      <c r="H14" s="2">
        <v>0.4</v>
      </c>
      <c r="I14" s="97" t="s">
        <v>1761</v>
      </c>
      <c r="S14" s="209">
        <f>(S12/S13)*100</f>
        <v>55.569620253164565</v>
      </c>
      <c r="T14" s="266" t="s">
        <v>296</v>
      </c>
    </row>
    <row r="15" spans="1:20" ht="20.100000000000001" customHeight="1" x14ac:dyDescent="0.2">
      <c r="E15" s="290"/>
      <c r="H15" s="2">
        <v>0.4</v>
      </c>
      <c r="I15" s="97" t="s">
        <v>1762</v>
      </c>
      <c r="S15" s="209">
        <f>(H12/390)+H13+H14+H15</f>
        <v>2.6512820512820512</v>
      </c>
      <c r="T15" s="266" t="s">
        <v>294</v>
      </c>
    </row>
    <row r="16" spans="1:20" ht="20.100000000000001" customHeight="1" x14ac:dyDescent="0.2">
      <c r="E16" s="290"/>
      <c r="H16" s="2">
        <v>1.8</v>
      </c>
      <c r="I16" s="97" t="s">
        <v>1763</v>
      </c>
      <c r="S16" s="209">
        <f>(H13/S15)*100</f>
        <v>67.891682785299807</v>
      </c>
      <c r="T16" s="266" t="s">
        <v>295</v>
      </c>
    </row>
    <row r="17" spans="2:20" ht="20.100000000000001" customHeight="1" x14ac:dyDescent="0.2">
      <c r="S17" s="209">
        <f>S13*(60-S14)/100</f>
        <v>0.17948717948717913</v>
      </c>
      <c r="T17" s="266" t="s">
        <v>297</v>
      </c>
    </row>
    <row r="18" spans="2:20" ht="20.100000000000001" customHeight="1" x14ac:dyDescent="0.2">
      <c r="G18" s="150" t="s">
        <v>1758</v>
      </c>
      <c r="H18" s="382">
        <f>IF(H13&lt;0.5,S18,IF(H15&gt;0.5,S18,0))</f>
        <v>0</v>
      </c>
      <c r="I18" s="97" t="s">
        <v>1764</v>
      </c>
      <c r="S18" s="310">
        <f>(S17*0.3)*1000</f>
        <v>53.84615384615374</v>
      </c>
      <c r="T18" s="266" t="s">
        <v>298</v>
      </c>
    </row>
    <row r="19" spans="2:20" ht="20.100000000000001" customHeight="1" x14ac:dyDescent="0.2">
      <c r="S19" s="224"/>
    </row>
    <row r="20" spans="2:20" ht="20.100000000000001" customHeight="1" x14ac:dyDescent="0.25">
      <c r="B20" s="383" t="s">
        <v>356</v>
      </c>
    </row>
    <row r="21" spans="2:20" ht="20.100000000000001" customHeight="1" x14ac:dyDescent="0.2">
      <c r="B21" s="97" t="s">
        <v>1756</v>
      </c>
    </row>
    <row r="22" spans="2:20" ht="20.100000000000001" customHeight="1" x14ac:dyDescent="0.2">
      <c r="B22" s="97" t="s">
        <v>299</v>
      </c>
    </row>
    <row r="23" spans="2:20" ht="20.100000000000001" customHeight="1" x14ac:dyDescent="0.2">
      <c r="C23" s="36"/>
      <c r="D23" s="36"/>
    </row>
    <row r="24" spans="2:20" ht="20.100000000000001" customHeight="1" x14ac:dyDescent="0.2"/>
    <row r="25" spans="2:20" ht="20.100000000000001" customHeight="1" x14ac:dyDescent="0.2"/>
    <row r="26" spans="2:20" ht="20.100000000000001" customHeight="1" x14ac:dyDescent="0.2"/>
    <row r="27" spans="2:20" ht="20.100000000000001" customHeight="1" x14ac:dyDescent="0.2"/>
    <row r="28" spans="2:20" ht="20.100000000000001" hidden="1" customHeight="1" x14ac:dyDescent="0.2"/>
    <row r="29" spans="2:20" ht="20.100000000000001" hidden="1" customHeight="1" x14ac:dyDescent="0.2"/>
    <row r="30" spans="2:20" ht="20.100000000000001" hidden="1" customHeight="1" x14ac:dyDescent="0.2"/>
  </sheetData>
  <sheetProtection algorithmName="SHA-512" hashValue="BhOI41PCMY1J0YVXMXGqlNr8VAg9DzO/ZQBB/O6Wh3C2lwFPiliWV/V4WvHmgY7Gr0xsEXrfr8B1QrF7XhsRQw==" saltValue="bxD3DqU2w4V+kOPRhicvIw==" spinCount="100000" sheet="1" objects="1" scenarios="1" selectLockedCells="1"/>
  <mergeCells count="3">
    <mergeCell ref="G6:J6"/>
    <mergeCell ref="E7:M7"/>
    <mergeCell ref="E8:M8"/>
  </mergeCells>
  <phoneticPr fontId="0" type="noConversion"/>
  <pageMargins left="0.78740157480314965" right="0.78740157480314965" top="0.78740157480314965" bottom="0.78740157480314965" header="0.51181102362204722" footer="0.51181102362204722"/>
  <pageSetup scale="56" orientation="portrait" horizontalDpi="360" verticalDpi="36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>
    <pageSetUpPr fitToPage="1"/>
  </sheetPr>
  <dimension ref="A1:Y4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1912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D9" s="164"/>
      <c r="E9" s="164"/>
      <c r="F9" s="164"/>
      <c r="G9" s="164"/>
      <c r="H9" s="164"/>
    </row>
    <row r="10" spans="1:16" ht="15" customHeight="1" x14ac:dyDescent="0.2"/>
    <row r="11" spans="1:16" ht="15" customHeight="1" x14ac:dyDescent="0.2">
      <c r="D11" s="298" t="s">
        <v>1208</v>
      </c>
      <c r="G11" s="237">
        <v>0.8</v>
      </c>
      <c r="H11" s="298" t="s">
        <v>2070</v>
      </c>
      <c r="I11" s="5">
        <v>0.5</v>
      </c>
      <c r="J11" s="49" t="s">
        <v>2100</v>
      </c>
      <c r="K11" s="299">
        <f>10000/(G11*I11)</f>
        <v>25000</v>
      </c>
      <c r="L11" s="266" t="s">
        <v>353</v>
      </c>
    </row>
    <row r="12" spans="1:16" ht="15" customHeight="1" x14ac:dyDescent="0.2">
      <c r="F12" s="225"/>
      <c r="G12" s="265"/>
      <c r="H12" s="271"/>
      <c r="I12" s="271"/>
    </row>
    <row r="13" spans="1:16" ht="15" customHeight="1" x14ac:dyDescent="0.2">
      <c r="D13" s="298" t="s">
        <v>1703</v>
      </c>
      <c r="G13" s="237">
        <v>10</v>
      </c>
      <c r="H13" s="49" t="s">
        <v>1873</v>
      </c>
      <c r="I13" s="271"/>
    </row>
    <row r="14" spans="1:16" ht="15" customHeight="1" x14ac:dyDescent="0.2">
      <c r="F14" s="225"/>
      <c r="G14" s="237">
        <v>150</v>
      </c>
      <c r="H14" s="49" t="s">
        <v>1874</v>
      </c>
      <c r="I14" s="271"/>
    </row>
    <row r="15" spans="1:16" ht="15" customHeight="1" x14ac:dyDescent="0.2">
      <c r="F15" s="225"/>
      <c r="G15" s="237">
        <v>9</v>
      </c>
      <c r="H15" s="49" t="s">
        <v>1907</v>
      </c>
      <c r="I15" s="271"/>
    </row>
    <row r="16" spans="1:16" ht="15" customHeight="1" x14ac:dyDescent="0.2">
      <c r="F16" s="225"/>
      <c r="G16" s="237">
        <v>40</v>
      </c>
      <c r="H16" s="49" t="s">
        <v>339</v>
      </c>
      <c r="I16" s="271"/>
    </row>
    <row r="17" spans="4:25" ht="15" customHeight="1" x14ac:dyDescent="0.2">
      <c r="F17" s="225"/>
      <c r="G17" s="265"/>
      <c r="H17" s="49"/>
      <c r="I17" s="271"/>
    </row>
    <row r="18" spans="4:25" ht="15" customHeight="1" x14ac:dyDescent="0.2">
      <c r="D18" s="60" t="s">
        <v>340</v>
      </c>
      <c r="G18" s="237">
        <v>80</v>
      </c>
      <c r="H18" s="49" t="s">
        <v>341</v>
      </c>
      <c r="I18" s="271"/>
    </row>
    <row r="19" spans="4:25" ht="15" customHeight="1" x14ac:dyDescent="0.2">
      <c r="G19" s="265"/>
    </row>
    <row r="20" spans="4:25" ht="15" customHeight="1" x14ac:dyDescent="0.25">
      <c r="D20" s="291" t="s">
        <v>371</v>
      </c>
      <c r="E20" s="291"/>
      <c r="F20" s="291"/>
      <c r="G20" s="291"/>
      <c r="H20" s="291"/>
      <c r="I20" s="27"/>
      <c r="W20" s="27"/>
      <c r="X20" s="27"/>
      <c r="Y20" s="27"/>
    </row>
    <row r="21" spans="4:25" ht="15" customHeight="1" x14ac:dyDescent="0.25">
      <c r="D21" s="291"/>
      <c r="E21" s="291"/>
      <c r="F21" s="291"/>
      <c r="G21" s="291"/>
      <c r="H21" s="291"/>
      <c r="I21" s="27"/>
      <c r="W21" s="27"/>
      <c r="X21" s="27"/>
      <c r="Y21" s="27"/>
    </row>
    <row r="22" spans="4:25" ht="15" customHeight="1" x14ac:dyDescent="0.2">
      <c r="F22" s="477" t="s">
        <v>348</v>
      </c>
      <c r="G22" s="286">
        <f>IF(W22&gt;0,W22,0)</f>
        <v>3.375</v>
      </c>
      <c r="H22" s="300" t="s">
        <v>349</v>
      </c>
      <c r="I22" s="303"/>
      <c r="J22" s="213"/>
      <c r="K22" s="213"/>
      <c r="L22" s="213"/>
      <c r="M22" s="213"/>
      <c r="O22" s="213"/>
      <c r="W22" s="315">
        <f xml:space="preserve"> G15*(70-G16)/G18</f>
        <v>3.375</v>
      </c>
      <c r="X22" s="27" t="s">
        <v>119</v>
      </c>
      <c r="Y22" s="27"/>
    </row>
    <row r="23" spans="4:25" ht="15" customHeight="1" x14ac:dyDescent="0.2">
      <c r="G23" s="222"/>
    </row>
    <row r="24" spans="4:25" ht="15" customHeight="1" x14ac:dyDescent="0.2">
      <c r="F24" s="316" t="s">
        <v>1696</v>
      </c>
      <c r="G24" s="224">
        <v>10</v>
      </c>
      <c r="H24" s="170" t="s">
        <v>558</v>
      </c>
      <c r="I24" s="222" t="str">
        <f>IF(G14&lt;80,"20 -00-30",IF(AND(G14&gt;=80,G14&lt;150),"20-00-20",IF(AND(G14&gt;=150,G14&lt;200),"20-00-15",IF(AND(G14&gt;=200,G14&lt;280),"20-00-10","Sulf. Amônio"))))</f>
        <v>20-00-15</v>
      </c>
      <c r="J24" s="266" t="s">
        <v>1293</v>
      </c>
    </row>
    <row r="25" spans="4:25" ht="15" customHeight="1" x14ac:dyDescent="0.2">
      <c r="G25" s="224">
        <f>((W25/K11)*1000)*5</f>
        <v>80</v>
      </c>
      <c r="H25" s="213" t="s">
        <v>1304</v>
      </c>
      <c r="I25" s="303"/>
      <c r="J25" s="218"/>
      <c r="K25" s="271"/>
      <c r="L25" s="271"/>
      <c r="W25" s="263" t="str">
        <f>IF(G13&lt;20,"400",IF(AND(G13&gt;=20,G13&lt;60),"300",IF(AND(G13&gt;=60,G13&lt;100),"100",IF(AND(G13&gt;=100,G13&lt;150),"50",0))))</f>
        <v>400</v>
      </c>
      <c r="X25" s="27" t="s">
        <v>344</v>
      </c>
      <c r="Y25" s="27"/>
    </row>
    <row r="26" spans="4:25" ht="15" customHeight="1" x14ac:dyDescent="0.2">
      <c r="G26" s="224">
        <v>3</v>
      </c>
      <c r="H26" s="213" t="s">
        <v>1318</v>
      </c>
      <c r="I26" s="208"/>
      <c r="J26" s="218"/>
      <c r="K26" s="306"/>
      <c r="L26" s="27"/>
      <c r="P26" s="263"/>
      <c r="Q26" s="27"/>
      <c r="R26" s="27"/>
    </row>
    <row r="27" spans="4:25" ht="15" customHeight="1" x14ac:dyDescent="0.2">
      <c r="G27" s="319"/>
    </row>
    <row r="28" spans="4:25" ht="15" customHeight="1" x14ac:dyDescent="0.2">
      <c r="F28" s="225" t="s">
        <v>342</v>
      </c>
      <c r="G28" s="224">
        <v>10</v>
      </c>
      <c r="H28" s="305" t="s">
        <v>372</v>
      </c>
      <c r="I28" s="222" t="str">
        <f>I24</f>
        <v>20-00-15</v>
      </c>
      <c r="J28" s="308" t="s">
        <v>1310</v>
      </c>
    </row>
    <row r="29" spans="4:25" ht="15" customHeight="1" x14ac:dyDescent="0.2">
      <c r="F29" s="224"/>
      <c r="G29" s="305"/>
      <c r="H29" s="222"/>
      <c r="I29" s="308"/>
    </row>
    <row r="30" spans="4:25" ht="15" customHeight="1" x14ac:dyDescent="0.2">
      <c r="D30" s="169"/>
    </row>
    <row r="31" spans="4:25" ht="15" customHeight="1" x14ac:dyDescent="0.2"/>
    <row r="32" spans="4:25" ht="15" customHeight="1" x14ac:dyDescent="0.2"/>
    <row r="33" spans="1:11" ht="15" customHeight="1" x14ac:dyDescent="0.2"/>
    <row r="34" spans="1:11" ht="15" customHeight="1" x14ac:dyDescent="0.2"/>
    <row r="35" spans="1:11" ht="15" customHeight="1" x14ac:dyDescent="0.2"/>
    <row r="36" spans="1:11" ht="15" customHeight="1" x14ac:dyDescent="0.2"/>
    <row r="37" spans="1:11" s="60" customFormat="1" ht="15" customHeight="1" x14ac:dyDescent="0.2">
      <c r="C37" s="296"/>
      <c r="D37" s="226" t="s">
        <v>891</v>
      </c>
      <c r="E37" s="771">
        <f ca="1">TODAY()</f>
        <v>45064</v>
      </c>
      <c r="F37" s="772"/>
      <c r="G37" s="296" t="s">
        <v>373</v>
      </c>
      <c r="H37" s="296"/>
      <c r="I37" s="296"/>
      <c r="J37" s="296"/>
      <c r="K37" s="296"/>
    </row>
    <row r="38" spans="1:11" s="60" customFormat="1" ht="15" customHeight="1" x14ac:dyDescent="0.2">
      <c r="C38" s="296"/>
      <c r="D38" s="267"/>
      <c r="E38" s="296"/>
      <c r="F38" s="296"/>
      <c r="G38" s="296"/>
      <c r="I38" s="296"/>
      <c r="J38" s="296"/>
      <c r="K38" s="296"/>
    </row>
    <row r="39" spans="1:11" s="60" customFormat="1" ht="15" hidden="1" customHeight="1" x14ac:dyDescent="0.2">
      <c r="C39" s="296"/>
      <c r="D39" s="267"/>
      <c r="E39" s="296"/>
      <c r="F39" s="296"/>
      <c r="G39" s="296"/>
      <c r="H39" s="296"/>
      <c r="I39" s="296"/>
      <c r="J39" s="296"/>
      <c r="K39" s="296"/>
    </row>
    <row r="40" spans="1:11" s="60" customFormat="1" ht="15" hidden="1" customHeight="1" x14ac:dyDescent="0.2">
      <c r="C40" s="296"/>
      <c r="D40" s="267"/>
      <c r="E40" s="296"/>
      <c r="F40" s="296"/>
      <c r="G40" s="296"/>
      <c r="H40" s="296"/>
      <c r="I40" s="296"/>
      <c r="J40" s="296"/>
      <c r="K40" s="296"/>
    </row>
    <row r="41" spans="1:11" ht="15" hidden="1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</row>
    <row r="42" spans="1:11" ht="15" hidden="1" customHeight="1" x14ac:dyDescent="0.2"/>
    <row r="43" spans="1:11" s="60" customFormat="1" ht="15" hidden="1" customHeight="1" x14ac:dyDescent="0.2">
      <c r="B43" s="267"/>
      <c r="G43" s="266"/>
    </row>
  </sheetData>
  <sheetProtection algorithmName="SHA-512" hashValue="6cV9QHXFsNTq2lOIB73Kuj0GfPp//6A/gaTNtEDeReIZrCx5EXEDCtEhllaU96wBgUQrxVHHS3OLUHh05lF9CA==" saltValue="IE6fa85+VlhczSprBX30zA==" spinCount="100000" sheet="1" objects="1" scenarios="1" selectLockedCells="1"/>
  <mergeCells count="3">
    <mergeCell ref="E6:L6"/>
    <mergeCell ref="E8:M8"/>
    <mergeCell ref="E37:F37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360" verticalDpi="36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>
    <pageSetUpPr fitToPage="1"/>
  </sheetPr>
  <dimension ref="A1:X46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E6" s="699" t="s">
        <v>1902</v>
      </c>
      <c r="F6" s="699"/>
      <c r="G6" s="699"/>
      <c r="H6" s="699"/>
      <c r="I6" s="699"/>
      <c r="J6" s="699"/>
      <c r="K6" s="699"/>
      <c r="L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5">
      <c r="B9" s="291"/>
      <c r="C9" s="291"/>
      <c r="D9" s="291"/>
      <c r="E9" s="291"/>
      <c r="F9" s="291"/>
      <c r="G9" s="291"/>
      <c r="H9" s="291"/>
      <c r="I9" s="291"/>
    </row>
    <row r="10" spans="1:16" ht="15" customHeight="1" x14ac:dyDescent="0.2"/>
    <row r="11" spans="1:16" ht="15" customHeight="1" x14ac:dyDescent="0.2">
      <c r="D11" s="170" t="s">
        <v>1208</v>
      </c>
      <c r="G11" s="237">
        <v>3</v>
      </c>
      <c r="H11" s="298" t="s">
        <v>2070</v>
      </c>
      <c r="I11" s="237">
        <v>2</v>
      </c>
      <c r="J11" s="49" t="s">
        <v>2100</v>
      </c>
      <c r="K11" s="299">
        <f>10000/(G11*I11)</f>
        <v>1666.6666666666667</v>
      </c>
      <c r="L11" s="266" t="s">
        <v>353</v>
      </c>
    </row>
    <row r="12" spans="1:16" ht="15" customHeight="1" x14ac:dyDescent="0.2">
      <c r="E12" s="265"/>
      <c r="F12" s="271"/>
      <c r="G12" s="271"/>
    </row>
    <row r="13" spans="1:16" ht="15" customHeight="1" x14ac:dyDescent="0.2">
      <c r="D13" s="298" t="s">
        <v>1703</v>
      </c>
      <c r="G13" s="237">
        <v>15</v>
      </c>
      <c r="H13" s="356" t="s">
        <v>1873</v>
      </c>
    </row>
    <row r="14" spans="1:16" ht="15" customHeight="1" x14ac:dyDescent="0.2">
      <c r="G14" s="237">
        <v>150</v>
      </c>
      <c r="H14" s="356" t="s">
        <v>1874</v>
      </c>
    </row>
    <row r="15" spans="1:16" ht="15" customHeight="1" x14ac:dyDescent="0.2">
      <c r="G15" s="237">
        <v>9</v>
      </c>
      <c r="H15" s="356" t="s">
        <v>1903</v>
      </c>
    </row>
    <row r="16" spans="1:16" ht="15" customHeight="1" x14ac:dyDescent="0.2">
      <c r="G16" s="237">
        <v>30</v>
      </c>
      <c r="H16" s="356" t="s">
        <v>339</v>
      </c>
    </row>
    <row r="17" spans="2:24" ht="15" customHeight="1" x14ac:dyDescent="0.2">
      <c r="G17" s="263"/>
      <c r="H17" s="49"/>
    </row>
    <row r="18" spans="2:24" ht="15" customHeight="1" x14ac:dyDescent="0.2">
      <c r="D18" s="60" t="s">
        <v>340</v>
      </c>
      <c r="G18" s="237">
        <v>90</v>
      </c>
      <c r="H18" s="49" t="s">
        <v>341</v>
      </c>
    </row>
    <row r="19" spans="2:24" ht="15" customHeight="1" x14ac:dyDescent="0.2">
      <c r="D19" s="265"/>
      <c r="H19" s="49"/>
    </row>
    <row r="20" spans="2:24" ht="15" customHeight="1" x14ac:dyDescent="0.25">
      <c r="D20" s="291" t="s">
        <v>371</v>
      </c>
    </row>
    <row r="21" spans="2:24" ht="15" customHeight="1" x14ac:dyDescent="0.25">
      <c r="C21" s="291"/>
      <c r="E21" s="291"/>
      <c r="F21" s="291"/>
      <c r="G21" s="27"/>
    </row>
    <row r="22" spans="2:24" s="213" customFormat="1" ht="15" customHeight="1" x14ac:dyDescent="0.2">
      <c r="D22" s="298" t="s">
        <v>1708</v>
      </c>
      <c r="E22" s="477"/>
      <c r="G22" s="257">
        <f>IF(W24&gt;0,W24,0)</f>
        <v>4</v>
      </c>
      <c r="H22" s="300" t="s">
        <v>349</v>
      </c>
      <c r="N22" s="266"/>
    </row>
    <row r="23" spans="2:24" ht="15" customHeight="1" x14ac:dyDescent="0.2">
      <c r="D23" s="222"/>
      <c r="N23" s="263"/>
    </row>
    <row r="24" spans="2:24" ht="15" customHeight="1" x14ac:dyDescent="0.2">
      <c r="D24" s="170" t="s">
        <v>1696</v>
      </c>
      <c r="G24" s="224">
        <v>10</v>
      </c>
      <c r="H24" s="305" t="s">
        <v>558</v>
      </c>
      <c r="I24" s="222" t="str">
        <f>IF(G14&lt;80,"20 -00-30",IF(AND(G14&gt;=80,G14&lt;150),"20-00-20",IF(AND(G14&gt;=150,G14&lt;200),"20-00-15",IF(AND(G14&gt;=200,G14&lt;280),"20-00-10","Sulf. Amônio"))))</f>
        <v>20-00-15</v>
      </c>
      <c r="J24" s="49" t="s">
        <v>1906</v>
      </c>
      <c r="W24" s="315">
        <f xml:space="preserve"> G15*(70-G16)/G18</f>
        <v>4</v>
      </c>
      <c r="X24" s="26" t="s">
        <v>1300</v>
      </c>
    </row>
    <row r="25" spans="2:24" ht="15" customHeight="1" x14ac:dyDescent="0.2">
      <c r="G25" s="224" t="str">
        <f>IF(G13&lt;20,"150",IF(AND(G13&gt;=20,G13&lt;60),"100",IF(AND(G13&gt;=60,G13&lt;100),"80",IF(AND(G13&gt;=100,G13&lt;150),"50",0))))</f>
        <v>150</v>
      </c>
      <c r="H25" s="49" t="s">
        <v>1904</v>
      </c>
      <c r="I25" s="303"/>
      <c r="J25" s="218"/>
      <c r="K25" s="271"/>
      <c r="L25" s="271"/>
      <c r="M25" s="263"/>
      <c r="N25" s="263"/>
    </row>
    <row r="26" spans="2:24" ht="15" customHeight="1" x14ac:dyDescent="0.2">
      <c r="G26" s="224">
        <v>5</v>
      </c>
      <c r="H26" s="49" t="s">
        <v>1905</v>
      </c>
      <c r="I26" s="208"/>
      <c r="J26" s="218"/>
      <c r="K26" s="306"/>
      <c r="L26" s="27"/>
      <c r="M26" s="263"/>
      <c r="N26" s="263"/>
    </row>
    <row r="27" spans="2:24" ht="15" customHeight="1" x14ac:dyDescent="0.2">
      <c r="D27" s="169"/>
      <c r="N27" s="263"/>
    </row>
    <row r="28" spans="2:24" ht="15" customHeight="1" x14ac:dyDescent="0.2">
      <c r="D28" s="281" t="s">
        <v>342</v>
      </c>
      <c r="G28" s="224">
        <v>10</v>
      </c>
      <c r="H28" s="495" t="s">
        <v>372</v>
      </c>
      <c r="I28" s="222" t="str">
        <f>I24</f>
        <v>20-00-15</v>
      </c>
      <c r="J28" s="308" t="s">
        <v>926</v>
      </c>
      <c r="M28" s="263"/>
      <c r="N28" s="27"/>
    </row>
    <row r="29" spans="2:24" ht="15" customHeight="1" x14ac:dyDescent="0.2">
      <c r="G29" s="224">
        <v>10</v>
      </c>
      <c r="H29" s="495" t="s">
        <v>372</v>
      </c>
      <c r="I29" s="222" t="str">
        <f>I24</f>
        <v>20-00-15</v>
      </c>
      <c r="J29" s="308" t="s">
        <v>970</v>
      </c>
    </row>
    <row r="30" spans="2:24" ht="15" customHeight="1" x14ac:dyDescent="0.2">
      <c r="G30" s="224">
        <v>15</v>
      </c>
      <c r="H30" s="495" t="s">
        <v>372</v>
      </c>
      <c r="I30" s="222" t="str">
        <f>I24</f>
        <v>20-00-15</v>
      </c>
      <c r="J30" s="308" t="s">
        <v>1132</v>
      </c>
    </row>
    <row r="31" spans="2:24" ht="15" customHeight="1" x14ac:dyDescent="0.2">
      <c r="D31" s="224"/>
      <c r="E31" s="305"/>
      <c r="F31" s="222"/>
      <c r="G31" s="308"/>
    </row>
    <row r="32" spans="2:24" ht="15" customHeight="1" x14ac:dyDescent="0.2">
      <c r="B32" s="169"/>
    </row>
    <row r="33" spans="2:13" ht="15" customHeight="1" x14ac:dyDescent="0.2"/>
    <row r="34" spans="2:13" ht="15" customHeight="1" x14ac:dyDescent="0.2"/>
    <row r="35" spans="2:13" ht="15" customHeight="1" x14ac:dyDescent="0.2"/>
    <row r="36" spans="2:13" ht="15" customHeight="1" x14ac:dyDescent="0.2"/>
    <row r="37" spans="2:13" ht="15" customHeight="1" x14ac:dyDescent="0.2">
      <c r="M37" s="60"/>
    </row>
    <row r="38" spans="2:13" s="60" customFormat="1" ht="15" customHeight="1" x14ac:dyDescent="0.2">
      <c r="C38" s="226" t="s">
        <v>891</v>
      </c>
      <c r="D38" s="771">
        <f ca="1">TODAY()</f>
        <v>45064</v>
      </c>
      <c r="E38" s="772"/>
      <c r="F38" s="60" t="s">
        <v>373</v>
      </c>
    </row>
    <row r="39" spans="2:13" s="60" customFormat="1" ht="15" customHeight="1" x14ac:dyDescent="0.2">
      <c r="B39" s="267"/>
    </row>
    <row r="40" spans="2:13" s="60" customFormat="1" ht="15" hidden="1" customHeight="1" x14ac:dyDescent="0.2">
      <c r="B40" s="267"/>
    </row>
    <row r="41" spans="2:13" s="60" customFormat="1" ht="15" hidden="1" customHeight="1" x14ac:dyDescent="0.2">
      <c r="B41" s="267"/>
    </row>
    <row r="42" spans="2:13" s="60" customFormat="1" ht="15" hidden="1" customHeight="1" x14ac:dyDescent="0.2">
      <c r="B42" s="267"/>
    </row>
    <row r="43" spans="2:13" s="60" customFormat="1" ht="15" hidden="1" customHeight="1" x14ac:dyDescent="0.2">
      <c r="B43" s="267"/>
    </row>
    <row r="44" spans="2:13" s="60" customFormat="1" ht="15" hidden="1" customHeight="1" x14ac:dyDescent="0.2">
      <c r="B44" s="267"/>
    </row>
    <row r="45" spans="2:13" s="60" customFormat="1" ht="15" hidden="1" customHeight="1" x14ac:dyDescent="0.2">
      <c r="B45" s="267"/>
      <c r="G45" s="266"/>
      <c r="M45" s="266"/>
    </row>
    <row r="46" spans="2:13" ht="15" hidden="1" customHeight="1" x14ac:dyDescent="0.2"/>
  </sheetData>
  <sheetProtection algorithmName="SHA-512" hashValue="CQ5Yb+s9nSd/JNsQmeGxnA8gQsvdnjiKhTvKSfoMyKq3AcELZ0Q57zC1lAz3lFmV6HBkRysT6S7lz5Qppq6NxQ==" saltValue="GMKu0y+A/4bPwVNC3VurjQ==" spinCount="100000" sheet="1" objects="1" scenarios="1" selectLockedCells="1"/>
  <mergeCells count="3">
    <mergeCell ref="E6:L6"/>
    <mergeCell ref="E8:M8"/>
    <mergeCell ref="D38:E3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fitToHeight="2" orientation="portrait" cellComments="atEnd" horizontalDpi="4294967295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>
    <pageSetUpPr fitToPage="1"/>
  </sheetPr>
  <dimension ref="A1:P23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1901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s="32" customFormat="1" ht="15" customHeight="1" thickBot="1" x14ac:dyDescent="0.4">
      <c r="A7" s="266"/>
      <c r="B7" s="266"/>
      <c r="C7" s="266"/>
      <c r="D7" s="266"/>
      <c r="E7" s="266"/>
      <c r="F7" s="266"/>
      <c r="G7" s="266"/>
      <c r="H7" s="266"/>
      <c r="I7" s="266"/>
      <c r="J7" s="266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HYPERLINK("#"&amp;"'CacauPlan'!h1","Plantio")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A10" s="34"/>
      <c r="F10" s="711" t="str">
        <f>HYPERLINK("#"&amp;"'Cacau1a2'!h1","Formação - 1 a 2 anos")</f>
        <v>Formação - 1 a 2 anos</v>
      </c>
      <c r="G10" s="711"/>
      <c r="H10" s="711"/>
      <c r="I10" s="711"/>
      <c r="J10" s="711"/>
    </row>
    <row r="11" spans="1:16" s="34" customFormat="1" ht="24.95" customHeight="1" thickTop="1" thickBot="1" x14ac:dyDescent="0.25">
      <c r="F11" s="711" t="str">
        <f>HYPERLINK("#"&amp;"'CacauProd'!h1","Produção")</f>
        <v>Produção</v>
      </c>
      <c r="G11" s="711"/>
      <c r="H11" s="711"/>
      <c r="I11" s="711"/>
      <c r="J11" s="711"/>
    </row>
    <row r="12" spans="1:16" s="34" customFormat="1" ht="15" customHeight="1" thickTop="1" x14ac:dyDescent="0.2">
      <c r="H12" s="43"/>
    </row>
    <row r="13" spans="1:16" s="34" customFormat="1" ht="15" hidden="1" customHeight="1" x14ac:dyDescent="0.2">
      <c r="H13" s="43"/>
    </row>
    <row r="14" spans="1:16" s="34" customFormat="1" ht="15" hidden="1" customHeight="1" x14ac:dyDescent="0.2">
      <c r="H14" s="43"/>
    </row>
    <row r="15" spans="1:16" s="34" customFormat="1" ht="15" hidden="1" customHeight="1" x14ac:dyDescent="0.2"/>
    <row r="16" spans="1:16" s="34" customFormat="1" ht="15" hidden="1" customHeight="1" x14ac:dyDescent="0.2">
      <c r="C16" s="266"/>
      <c r="D16" s="266"/>
      <c r="E16" s="266"/>
    </row>
    <row r="17" spans="2:5" s="34" customFormat="1" ht="15" hidden="1" customHeight="1" x14ac:dyDescent="0.2">
      <c r="B17" s="266"/>
      <c r="C17" s="266"/>
      <c r="D17" s="266"/>
      <c r="E17" s="266"/>
    </row>
    <row r="18" spans="2:5" s="34" customFormat="1" ht="15" hidden="1" customHeight="1" x14ac:dyDescent="0.2">
      <c r="B18" s="266"/>
    </row>
    <row r="19" spans="2:5" s="34" customFormat="1" ht="15" hidden="1" customHeight="1" x14ac:dyDescent="0.2">
      <c r="B19" s="266"/>
    </row>
    <row r="20" spans="2:5" ht="15" hidden="1" customHeight="1" x14ac:dyDescent="0.2">
      <c r="B20" s="34"/>
    </row>
    <row r="21" spans="2:5" ht="15" hidden="1" customHeight="1" x14ac:dyDescent="0.2">
      <c r="B21" s="34"/>
    </row>
    <row r="22" spans="2:5" ht="15" hidden="1" customHeight="1" x14ac:dyDescent="0.2"/>
    <row r="23" spans="2:5" ht="15" hidden="1" customHeight="1" x14ac:dyDescent="0.2"/>
  </sheetData>
  <sheetProtection algorithmName="SHA-512" hashValue="5Y8Bzzu9rw04H2Zp0UV4iTNvKBKgSc+2sHsUa8OMnCOuORF1smi2rwZBby+llKFWZEqLf+WO8MSn/g6azucjBQ==" saltValue="riLRhGOwTTKOFnSSSelVBQ==" spinCount="100000" sheet="1" objects="1" scenarios="1"/>
  <mergeCells count="5">
    <mergeCell ref="C6:N6"/>
    <mergeCell ref="F8:J8"/>
    <mergeCell ref="F9:J9"/>
    <mergeCell ref="F10:J10"/>
    <mergeCell ref="F11:J11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orientation="portrait" cellComments="atEnd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>
    <pageSetUpPr fitToPage="1"/>
  </sheetPr>
  <dimension ref="A1:Y4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1900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>
      <c r="G7" s="235"/>
      <c r="H7" s="235"/>
      <c r="I7" s="235"/>
      <c r="J7" s="235"/>
      <c r="K7" s="235"/>
      <c r="L7" s="235"/>
    </row>
    <row r="8" spans="1:25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s="287" customFormat="1" ht="15" customHeight="1" x14ac:dyDescent="0.25">
      <c r="C9" s="291"/>
      <c r="D9" s="291"/>
      <c r="E9" s="291"/>
      <c r="F9" s="291"/>
      <c r="G9" s="291"/>
      <c r="H9" s="291"/>
      <c r="I9" s="291"/>
      <c r="J9" s="291"/>
    </row>
    <row r="10" spans="1:25" ht="15" customHeight="1" x14ac:dyDescent="0.2"/>
    <row r="11" spans="1:25" ht="15" customHeight="1" x14ac:dyDescent="0.2">
      <c r="D11" s="298" t="s">
        <v>2265</v>
      </c>
      <c r="G11" s="5">
        <v>40</v>
      </c>
      <c r="H11" s="49" t="s">
        <v>2280</v>
      </c>
      <c r="I11" s="5">
        <v>40</v>
      </c>
      <c r="J11" s="49" t="s">
        <v>2280</v>
      </c>
      <c r="K11" s="5">
        <v>40</v>
      </c>
      <c r="L11" s="49" t="s">
        <v>495</v>
      </c>
    </row>
    <row r="12" spans="1:25" ht="15" customHeight="1" x14ac:dyDescent="0.2">
      <c r="C12" s="34"/>
      <c r="D12" s="34"/>
      <c r="E12" s="34"/>
      <c r="F12" s="34"/>
    </row>
    <row r="13" spans="1:25" ht="15" customHeight="1" x14ac:dyDescent="0.2">
      <c r="D13" s="281" t="s">
        <v>338</v>
      </c>
      <c r="F13" s="317" t="s">
        <v>1719</v>
      </c>
      <c r="G13" s="5">
        <v>2</v>
      </c>
      <c r="H13" s="273" t="s">
        <v>278</v>
      </c>
    </row>
    <row r="14" spans="1:25" ht="15" customHeight="1" x14ac:dyDescent="0.2">
      <c r="D14" s="275"/>
      <c r="F14" s="317" t="s">
        <v>1720</v>
      </c>
      <c r="G14" s="5">
        <v>90</v>
      </c>
      <c r="H14" s="273" t="s">
        <v>278</v>
      </c>
    </row>
    <row r="15" spans="1:25" ht="15" customHeight="1" x14ac:dyDescent="0.2">
      <c r="D15" s="275"/>
      <c r="F15" s="317" t="s">
        <v>976</v>
      </c>
      <c r="G15" s="5">
        <v>2</v>
      </c>
      <c r="H15" s="49" t="s">
        <v>341</v>
      </c>
    </row>
    <row r="16" spans="1:25" ht="15" customHeight="1" x14ac:dyDescent="0.2">
      <c r="D16" s="275"/>
      <c r="F16" s="317" t="s">
        <v>1721</v>
      </c>
      <c r="G16" s="237">
        <v>30</v>
      </c>
      <c r="H16" s="49" t="s">
        <v>341</v>
      </c>
      <c r="W16" s="256">
        <f>(G11*I11*K11)/1000</f>
        <v>64</v>
      </c>
      <c r="X16" s="49" t="s">
        <v>662</v>
      </c>
      <c r="Y16" s="49"/>
    </row>
    <row r="17" spans="2:25" ht="15" customHeight="1" x14ac:dyDescent="0.3">
      <c r="D17" s="275"/>
      <c r="F17" s="317" t="s">
        <v>1722</v>
      </c>
      <c r="G17" s="5">
        <v>7</v>
      </c>
      <c r="H17" s="49" t="s">
        <v>1784</v>
      </c>
      <c r="W17" s="256">
        <f>IF(G15&lt;1,15,IF(AND(G15&gt;=1,G15&lt;3),10,IF(AND(G15&gt;=3,G15&lt;5),7,5)))</f>
        <v>10</v>
      </c>
      <c r="X17" s="49" t="s">
        <v>667</v>
      </c>
      <c r="Y17" s="49"/>
    </row>
    <row r="18" spans="2:25" ht="15" customHeight="1" x14ac:dyDescent="0.2">
      <c r="B18" s="27"/>
      <c r="C18" s="27"/>
      <c r="D18" s="275"/>
      <c r="E18" s="27"/>
      <c r="F18" s="317"/>
      <c r="G18" s="208"/>
      <c r="H18" s="26"/>
      <c r="I18" s="27"/>
      <c r="J18" s="27"/>
      <c r="W18" s="256"/>
      <c r="X18" s="49"/>
      <c r="Y18" s="49"/>
    </row>
    <row r="19" spans="2:25" ht="15" customHeight="1" x14ac:dyDescent="0.2">
      <c r="D19" s="275"/>
      <c r="F19" s="317" t="s">
        <v>1715</v>
      </c>
      <c r="G19" s="237">
        <v>90</v>
      </c>
      <c r="H19" s="49" t="s">
        <v>341</v>
      </c>
      <c r="W19" s="350">
        <f>((((80-G13)/0.2)*W16)/1000)*2.3*5</f>
        <v>287.03999999999996</v>
      </c>
      <c r="X19" s="49" t="s">
        <v>664</v>
      </c>
      <c r="Y19" s="49"/>
    </row>
    <row r="20" spans="2:25" ht="15" customHeight="1" x14ac:dyDescent="0.2">
      <c r="C20" s="34"/>
      <c r="D20" s="34"/>
      <c r="E20" s="34"/>
      <c r="F20" s="34"/>
      <c r="W20" s="310">
        <f>IF(W19&gt;0,W19,0)</f>
        <v>287.03999999999996</v>
      </c>
      <c r="X20" s="266" t="s">
        <v>799</v>
      </c>
    </row>
    <row r="21" spans="2:25" ht="15" customHeight="1" x14ac:dyDescent="0.2">
      <c r="F21" s="478" t="s">
        <v>668</v>
      </c>
      <c r="G21" s="257">
        <f>W17</f>
        <v>10</v>
      </c>
      <c r="H21" s="49" t="s">
        <v>663</v>
      </c>
      <c r="W21" s="353">
        <f>((80-G16)*G17)/G19</f>
        <v>3.8888888888888888</v>
      </c>
      <c r="X21" s="49" t="s">
        <v>665</v>
      </c>
      <c r="Y21" s="49"/>
    </row>
    <row r="22" spans="2:25" ht="15" customHeight="1" x14ac:dyDescent="0.2">
      <c r="G22" s="276">
        <f>W20</f>
        <v>287.03999999999996</v>
      </c>
      <c r="H22" s="49" t="s">
        <v>659</v>
      </c>
      <c r="W22" s="350">
        <f>(W21/2)*W16</f>
        <v>124.44444444444444</v>
      </c>
      <c r="X22" s="49" t="s">
        <v>666</v>
      </c>
      <c r="Y22" s="49"/>
    </row>
    <row r="23" spans="2:25" ht="15" customHeight="1" x14ac:dyDescent="0.2">
      <c r="G23" s="276">
        <f>W23</f>
        <v>124.44444444444444</v>
      </c>
      <c r="H23" s="49" t="s">
        <v>660</v>
      </c>
      <c r="W23" s="350">
        <f>IF(W22&gt;0,W22,0)</f>
        <v>124.44444444444444</v>
      </c>
      <c r="X23" s="49" t="s">
        <v>800</v>
      </c>
      <c r="Y23" s="49"/>
    </row>
    <row r="24" spans="2:25" ht="15" customHeight="1" x14ac:dyDescent="0.2">
      <c r="G24" s="257">
        <v>20</v>
      </c>
      <c r="H24" s="49" t="s">
        <v>661</v>
      </c>
    </row>
    <row r="25" spans="2:25" ht="15" customHeight="1" x14ac:dyDescent="0.2">
      <c r="G25" s="257"/>
      <c r="H25" s="49"/>
    </row>
    <row r="26" spans="2:25" ht="15" customHeight="1" x14ac:dyDescent="0.25">
      <c r="D26" s="291" t="s">
        <v>371</v>
      </c>
    </row>
    <row r="27" spans="2:25" ht="15" customHeight="1" x14ac:dyDescent="0.25">
      <c r="D27" s="291"/>
    </row>
    <row r="28" spans="2:25" ht="15" customHeight="1" x14ac:dyDescent="0.2">
      <c r="D28" s="292" t="s">
        <v>1708</v>
      </c>
      <c r="F28" s="169"/>
      <c r="G28" s="286">
        <f>IF(W28&gt;0,W28,0)</f>
        <v>3.1111111111111112</v>
      </c>
      <c r="H28" s="266" t="s">
        <v>1143</v>
      </c>
      <c r="W28" s="396">
        <f>((70-G16)*G17)/G19</f>
        <v>3.1111111111111112</v>
      </c>
      <c r="X28" s="266" t="s">
        <v>1129</v>
      </c>
    </row>
    <row r="29" spans="2:25" ht="15" customHeight="1" x14ac:dyDescent="0.2"/>
    <row r="30" spans="2:25" ht="15" customHeight="1" x14ac:dyDescent="0.2">
      <c r="D30" s="219" t="s">
        <v>1677</v>
      </c>
    </row>
    <row r="31" spans="2:25" ht="15" customHeight="1" x14ac:dyDescent="0.2">
      <c r="G31" s="316" t="s">
        <v>1678</v>
      </c>
      <c r="H31" s="257" t="str">
        <f>IF(G14&lt;60,"20-00-20",IF(AND(G14&gt;=60,G14&lt;120),"20-00-15",IF(AND(G14&gt;=120,G14&lt;220),"20-00-10","Sulfato de Amônio")))</f>
        <v>20-00-15</v>
      </c>
      <c r="J31" s="49"/>
      <c r="K31" s="49"/>
      <c r="L31" s="49"/>
    </row>
    <row r="32" spans="2:25" ht="15" customHeight="1" x14ac:dyDescent="0.2">
      <c r="G32" s="316" t="s">
        <v>1717</v>
      </c>
      <c r="H32" s="257" t="str">
        <f>H31</f>
        <v>20-00-15</v>
      </c>
    </row>
    <row r="33" spans="1:10" ht="15" customHeight="1" x14ac:dyDescent="0.2">
      <c r="G33" s="316" t="s">
        <v>1718</v>
      </c>
      <c r="H33" s="257" t="str">
        <f>H31</f>
        <v>20-00-15</v>
      </c>
    </row>
    <row r="34" spans="1:10" ht="15" customHeight="1" x14ac:dyDescent="0.2"/>
    <row r="35" spans="1:10" ht="15" customHeight="1" x14ac:dyDescent="0.2">
      <c r="C35" s="169"/>
    </row>
    <row r="36" spans="1:10" ht="15" customHeight="1" x14ac:dyDescent="0.2"/>
    <row r="37" spans="1:10" ht="15" customHeight="1" x14ac:dyDescent="0.2">
      <c r="C37" s="49"/>
    </row>
    <row r="38" spans="1:10" ht="15" customHeight="1" x14ac:dyDescent="0.2"/>
    <row r="39" spans="1:10" ht="15" customHeight="1" x14ac:dyDescent="0.2"/>
    <row r="40" spans="1:10" ht="15" customHeight="1" x14ac:dyDescent="0.2"/>
    <row r="41" spans="1:10" s="60" customFormat="1" ht="15" customHeight="1" x14ac:dyDescent="0.2">
      <c r="B41" s="296"/>
      <c r="C41" s="226" t="s">
        <v>891</v>
      </c>
      <c r="D41" s="296"/>
      <c r="E41" s="296"/>
      <c r="F41" s="296" t="s">
        <v>373</v>
      </c>
      <c r="G41" s="296"/>
      <c r="H41" s="296"/>
      <c r="I41" s="296"/>
      <c r="J41" s="296"/>
    </row>
    <row r="42" spans="1:10" s="60" customFormat="1" ht="15" customHeight="1" x14ac:dyDescent="0.2">
      <c r="B42" s="296"/>
      <c r="C42" s="267"/>
      <c r="D42" s="296"/>
      <c r="E42" s="296"/>
      <c r="F42" s="296"/>
      <c r="G42" s="296"/>
      <c r="H42" s="296"/>
      <c r="I42" s="296"/>
      <c r="J42" s="296"/>
    </row>
    <row r="43" spans="1:10" s="60" customFormat="1" ht="15" hidden="1" customHeight="1" x14ac:dyDescent="0.2">
      <c r="B43" s="296"/>
      <c r="C43" s="267"/>
      <c r="D43" s="296"/>
      <c r="E43" s="296"/>
      <c r="F43" s="296"/>
      <c r="H43" s="296"/>
      <c r="I43" s="296"/>
      <c r="J43" s="296"/>
    </row>
    <row r="44" spans="1:10" s="60" customFormat="1" ht="15" hidden="1" customHeight="1" x14ac:dyDescent="0.2">
      <c r="A44" s="296"/>
      <c r="B44" s="267"/>
      <c r="C44" s="296"/>
      <c r="D44" s="296"/>
      <c r="E44" s="296"/>
      <c r="F44" s="296"/>
      <c r="G44" s="296"/>
      <c r="H44" s="296"/>
      <c r="I44" s="296"/>
    </row>
    <row r="45" spans="1:10" s="60" customFormat="1" ht="15" hidden="1" customHeight="1" x14ac:dyDescent="0.2">
      <c r="A45" s="296"/>
      <c r="B45" s="267"/>
      <c r="C45" s="296"/>
      <c r="D45" s="296"/>
      <c r="E45" s="296"/>
      <c r="F45" s="296"/>
      <c r="G45" s="296"/>
      <c r="H45" s="296"/>
      <c r="I45" s="296"/>
    </row>
    <row r="46" spans="1:10" ht="15" hidden="1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10" ht="15" hidden="1" customHeight="1" x14ac:dyDescent="0.2"/>
    <row r="48" spans="1:10" s="60" customFormat="1" ht="15" hidden="1" customHeight="1" x14ac:dyDescent="0.2">
      <c r="B48" s="267"/>
      <c r="G48" s="266"/>
    </row>
  </sheetData>
  <sheetProtection algorithmName="SHA-512" hashValue="EtUss7knv/91jm4sNMiErTSp7qXEPQQi3Y3AatmhOilDVvNYlUrSqd8kZ3A0yqWMbEapvLcGREWgP04pzmg8vA==" saltValue="wFqpLCVCKnOOC+nfT8rLFw==" spinCount="100000" sheet="1" objects="1" scenarios="1" selectLockedCells="1"/>
  <mergeCells count="2">
    <mergeCell ref="E8:M8"/>
    <mergeCell ref="C6:N6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fitToHeight="2" orientation="portrait" cellComments="atEnd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>
    <pageSetUpPr fitToPage="1"/>
  </sheetPr>
  <dimension ref="A1:Y49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1896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G7" s="235"/>
      <c r="H7" s="235"/>
      <c r="I7" s="235"/>
      <c r="J7" s="235"/>
      <c r="K7" s="235"/>
      <c r="L7" s="235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s="164" customFormat="1" ht="15" customHeight="1" x14ac:dyDescent="0.25">
      <c r="B9" s="291"/>
      <c r="C9" s="291"/>
      <c r="D9" s="291"/>
      <c r="E9" s="291"/>
      <c r="F9" s="291"/>
      <c r="G9" s="291"/>
      <c r="H9" s="291"/>
      <c r="I9" s="291"/>
    </row>
    <row r="10" spans="1:16" ht="15" customHeight="1" x14ac:dyDescent="0.2"/>
    <row r="11" spans="1:16" ht="15" customHeight="1" x14ac:dyDescent="0.25">
      <c r="D11" s="164" t="s">
        <v>1897</v>
      </c>
      <c r="E11" s="34"/>
    </row>
    <row r="12" spans="1:16" ht="15" customHeight="1" x14ac:dyDescent="0.2">
      <c r="D12" s="281" t="s">
        <v>338</v>
      </c>
      <c r="F12" s="281"/>
      <c r="G12" s="237">
        <v>90</v>
      </c>
      <c r="H12" s="290" t="s">
        <v>1898</v>
      </c>
      <c r="I12" s="272"/>
    </row>
    <row r="13" spans="1:16" ht="15" customHeight="1" x14ac:dyDescent="0.2"/>
    <row r="14" spans="1:16" ht="15" customHeight="1" x14ac:dyDescent="0.2">
      <c r="J14" s="316" t="s">
        <v>1726</v>
      </c>
      <c r="K14" s="257" t="str">
        <f>IF(G12&lt;60,"20-00-30",IF(AND(G12&gt;=60,G12&lt;120),"20-00-20",IF(AND(G12&gt;=120,G12&lt;200),"20-00-15",IF(AND(G12&gt;=200,G12&lt;280),"20-00-10","Sultato de Amônio"))))</f>
        <v>20-00-20</v>
      </c>
    </row>
    <row r="15" spans="1:16" ht="15" customHeight="1" x14ac:dyDescent="0.2">
      <c r="J15" s="316" t="s">
        <v>1693</v>
      </c>
      <c r="K15" s="257" t="str">
        <f>K14</f>
        <v>20-00-20</v>
      </c>
    </row>
    <row r="16" spans="1:16" ht="15" customHeight="1" x14ac:dyDescent="0.2">
      <c r="J16" s="316" t="s">
        <v>1727</v>
      </c>
      <c r="K16" s="257" t="str">
        <f>K14</f>
        <v>20-00-20</v>
      </c>
    </row>
    <row r="17" spans="4:25" ht="15" customHeight="1" x14ac:dyDescent="0.2"/>
    <row r="18" spans="4:25" ht="15" customHeight="1" x14ac:dyDescent="0.25">
      <c r="D18" s="164" t="s">
        <v>1725</v>
      </c>
      <c r="E18" s="34"/>
    </row>
    <row r="19" spans="4:25" ht="15" customHeight="1" x14ac:dyDescent="0.2">
      <c r="D19" s="60" t="s">
        <v>338</v>
      </c>
      <c r="F19" s="265"/>
      <c r="G19" s="237">
        <v>5</v>
      </c>
      <c r="H19" s="290" t="s">
        <v>1899</v>
      </c>
    </row>
    <row r="20" spans="4:25" ht="15" customHeight="1" x14ac:dyDescent="0.2">
      <c r="F20" s="265"/>
      <c r="G20" s="237">
        <v>90</v>
      </c>
      <c r="H20" s="290" t="s">
        <v>1898</v>
      </c>
    </row>
    <row r="21" spans="4:25" ht="15" customHeight="1" x14ac:dyDescent="0.2"/>
    <row r="22" spans="4:25" ht="15" customHeight="1" x14ac:dyDescent="0.2">
      <c r="F22" s="225" t="s">
        <v>637</v>
      </c>
      <c r="G22" s="224">
        <f>W22*5</f>
        <v>500</v>
      </c>
      <c r="H22" s="280" t="s">
        <v>372</v>
      </c>
      <c r="I22" s="169" t="s">
        <v>1140</v>
      </c>
      <c r="J22" s="169"/>
      <c r="W22" s="325" t="str">
        <f>IF(G19&lt;10,"100",IF(AND(G19&gt;=10,G19&lt;20),"80",IF(AND(G19&gt;=20,G19&lt;50),"40",0)))</f>
        <v>100</v>
      </c>
      <c r="X22" s="27" t="s">
        <v>649</v>
      </c>
      <c r="Y22" s="27"/>
    </row>
    <row r="23" spans="4:25" ht="15" customHeight="1" x14ac:dyDescent="0.2">
      <c r="F23" s="226" t="s">
        <v>1139</v>
      </c>
      <c r="G23" s="276">
        <f>((W23*5)/3)</f>
        <v>166.66666666666666</v>
      </c>
      <c r="H23" s="280" t="s">
        <v>372</v>
      </c>
      <c r="I23" s="222" t="str">
        <f>IF(G20&lt;60,"20-00-30",IF(AND(G20&gt;=60,G20&lt;120),"20-00-20",IF(AND(G20&gt;=120,G20&lt;200),"20-00-15",IF(AND(G20&gt;=200,G20&lt;280),"20-00-10","Sultato de Amônio"))))</f>
        <v>20-00-20</v>
      </c>
      <c r="W23" s="171">
        <v>100</v>
      </c>
      <c r="X23" s="27" t="s">
        <v>650</v>
      </c>
      <c r="Y23" s="27"/>
    </row>
    <row r="24" spans="4:25" s="281" customFormat="1" ht="15" customHeight="1" x14ac:dyDescent="0.2">
      <c r="H24" s="283"/>
      <c r="I24" s="283"/>
      <c r="J24" s="283"/>
      <c r="K24" s="283"/>
      <c r="W24" s="315">
        <f xml:space="preserve"> G27*(70-G26)/G29</f>
        <v>3.5</v>
      </c>
      <c r="X24" s="27" t="s">
        <v>349</v>
      </c>
      <c r="Y24" s="283"/>
    </row>
    <row r="25" spans="4:25" s="281" customFormat="1" ht="15" customHeight="1" x14ac:dyDescent="0.25">
      <c r="D25" s="164" t="s">
        <v>1724</v>
      </c>
      <c r="H25" s="283"/>
      <c r="I25" s="283"/>
      <c r="J25" s="283"/>
      <c r="K25" s="283"/>
      <c r="W25" s="289"/>
      <c r="X25" s="27"/>
      <c r="Y25" s="283"/>
    </row>
    <row r="26" spans="4:25" ht="15" customHeight="1" x14ac:dyDescent="0.2">
      <c r="D26" s="60" t="s">
        <v>338</v>
      </c>
      <c r="G26" s="237">
        <v>30</v>
      </c>
      <c r="H26" s="283" t="s">
        <v>557</v>
      </c>
      <c r="I26" s="281"/>
      <c r="J26" s="283"/>
      <c r="K26" s="283"/>
      <c r="O26" s="283"/>
      <c r="P26" s="283"/>
    </row>
    <row r="27" spans="4:25" ht="15" customHeight="1" x14ac:dyDescent="0.2">
      <c r="F27" s="281"/>
      <c r="G27" s="5">
        <v>7</v>
      </c>
      <c r="H27" s="275" t="s">
        <v>1127</v>
      </c>
      <c r="I27" s="281"/>
      <c r="J27" s="272"/>
      <c r="K27" s="272"/>
      <c r="O27" s="283"/>
      <c r="P27" s="283"/>
    </row>
    <row r="28" spans="4:25" s="27" customFormat="1" ht="15" customHeight="1" x14ac:dyDescent="0.2">
      <c r="F28" s="283"/>
      <c r="G28" s="208"/>
      <c r="H28" s="275"/>
      <c r="I28" s="283"/>
      <c r="J28" s="272"/>
      <c r="K28" s="272"/>
      <c r="O28" s="283"/>
      <c r="P28" s="283"/>
    </row>
    <row r="29" spans="4:25" ht="15" customHeight="1" x14ac:dyDescent="0.2">
      <c r="D29" s="273" t="s">
        <v>340</v>
      </c>
      <c r="F29" s="281"/>
      <c r="G29" s="237">
        <v>80</v>
      </c>
      <c r="H29" s="49" t="s">
        <v>341</v>
      </c>
      <c r="I29" s="281"/>
      <c r="J29" s="283"/>
      <c r="K29" s="283"/>
      <c r="O29" s="283"/>
      <c r="P29" s="283"/>
    </row>
    <row r="30" spans="4:25" ht="15" customHeight="1" x14ac:dyDescent="0.2">
      <c r="D30" s="281"/>
      <c r="E30" s="263"/>
      <c r="F30" s="283"/>
      <c r="G30" s="283"/>
      <c r="H30" s="283"/>
      <c r="I30" s="283"/>
      <c r="J30" s="283"/>
      <c r="K30" s="283"/>
      <c r="L30" s="283"/>
      <c r="M30" s="283"/>
    </row>
    <row r="31" spans="4:25" ht="15" customHeight="1" x14ac:dyDescent="0.2">
      <c r="F31" s="317" t="s">
        <v>1723</v>
      </c>
      <c r="G31" s="220">
        <f>IF(W24&gt;0,W24,0)</f>
        <v>3.5</v>
      </c>
      <c r="H31" s="280" t="s">
        <v>1246</v>
      </c>
      <c r="I31" s="281"/>
      <c r="J31" s="281"/>
      <c r="K31" s="281"/>
      <c r="L31" s="281"/>
      <c r="M31" s="281"/>
    </row>
    <row r="32" spans="4:25" s="281" customFormat="1" ht="15" customHeight="1" x14ac:dyDescent="0.2">
      <c r="D32" s="275"/>
      <c r="H32" s="283"/>
      <c r="I32" s="283"/>
      <c r="J32" s="283"/>
      <c r="K32" s="283"/>
      <c r="L32" s="283"/>
      <c r="M32" s="283"/>
    </row>
    <row r="33" spans="2:8" ht="15" customHeight="1" x14ac:dyDescent="0.2">
      <c r="D33" s="169"/>
      <c r="H33" s="272"/>
    </row>
    <row r="34" spans="2:8" ht="15" customHeight="1" x14ac:dyDescent="0.2">
      <c r="D34" s="273"/>
      <c r="H34" s="272"/>
    </row>
    <row r="35" spans="2:8" s="281" customFormat="1" ht="15" customHeight="1" x14ac:dyDescent="0.2">
      <c r="D35" s="273"/>
    </row>
    <row r="36" spans="2:8" s="281" customFormat="1" ht="15" customHeight="1" x14ac:dyDescent="0.2"/>
    <row r="37" spans="2:8" s="60" customFormat="1" ht="15" customHeight="1" x14ac:dyDescent="0.2">
      <c r="D37" s="267"/>
    </row>
    <row r="38" spans="2:8" s="60" customFormat="1" ht="15" customHeight="1" x14ac:dyDescent="0.2">
      <c r="D38" s="226" t="s">
        <v>891</v>
      </c>
      <c r="E38" s="719"/>
      <c r="F38" s="719"/>
      <c r="G38" s="60" t="s">
        <v>373</v>
      </c>
    </row>
    <row r="39" spans="2:8" s="60" customFormat="1" ht="15" customHeight="1" x14ac:dyDescent="0.2">
      <c r="D39" s="267"/>
    </row>
    <row r="40" spans="2:8" s="60" customFormat="1" ht="15" hidden="1" customHeight="1" x14ac:dyDescent="0.2">
      <c r="D40" s="267"/>
    </row>
    <row r="41" spans="2:8" s="60" customFormat="1" ht="15" hidden="1" customHeight="1" x14ac:dyDescent="0.2">
      <c r="D41" s="267"/>
    </row>
    <row r="42" spans="2:8" s="60" customFormat="1" ht="15" hidden="1" customHeight="1" x14ac:dyDescent="0.2">
      <c r="D42" s="267"/>
    </row>
    <row r="43" spans="2:8" s="60" customFormat="1" ht="15" hidden="1" customHeight="1" x14ac:dyDescent="0.2">
      <c r="B43" s="267"/>
    </row>
    <row r="44" spans="2:8" s="60" customFormat="1" ht="15" hidden="1" customHeight="1" x14ac:dyDescent="0.2">
      <c r="B44" s="267"/>
      <c r="G44" s="266"/>
      <c r="H44" s="111"/>
    </row>
    <row r="45" spans="2:8" s="60" customFormat="1" ht="15" hidden="1" customHeight="1" x14ac:dyDescent="0.2">
      <c r="B45" s="267"/>
    </row>
    <row r="46" spans="2:8" s="60" customFormat="1" ht="15" hidden="1" customHeight="1" x14ac:dyDescent="0.2">
      <c r="B46" s="267"/>
    </row>
    <row r="47" spans="2:8" s="60" customFormat="1" ht="15" hidden="1" customHeight="1" x14ac:dyDescent="0.2">
      <c r="B47" s="267"/>
    </row>
    <row r="48" spans="2:8" s="60" customFormat="1" ht="15" hidden="1" customHeight="1" x14ac:dyDescent="0.2">
      <c r="B48" s="266"/>
    </row>
    <row r="49" ht="15" hidden="1" customHeight="1" x14ac:dyDescent="0.2"/>
  </sheetData>
  <sheetProtection algorithmName="SHA-512" hashValue="016eVcyGqrRLJzZbkbPx/4/Z8oz3HY5orNluv0FX/3x9UEF/nH2jWIPJNzW+8UAx8qRrb7DO4tdjxVWLFPLNPw==" saltValue="e0oPRq6oPcTtyEOpqMjj2w==" spinCount="100000" sheet="1" objects="1" scenarios="1" selectLockedCells="1"/>
  <mergeCells count="3">
    <mergeCell ref="E38:F38"/>
    <mergeCell ref="E8:M8"/>
    <mergeCell ref="C6:N6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79" fitToHeight="0" orientation="portrait" cellComments="atEnd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5">
    <pageSetUpPr fitToPage="1"/>
  </sheetPr>
  <dimension ref="A1:X4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24.95" customHeight="1" x14ac:dyDescent="0.2">
      <c r="C6" s="699" t="s">
        <v>1895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7" ht="15" customHeight="1" x14ac:dyDescent="0.2">
      <c r="G7" s="235"/>
      <c r="H7" s="235"/>
      <c r="I7" s="235"/>
      <c r="J7" s="235"/>
      <c r="K7" s="235"/>
      <c r="L7" s="235"/>
    </row>
    <row r="8" spans="1:17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7" s="379" customFormat="1" ht="15" customHeight="1" x14ac:dyDescent="0.25">
      <c r="D9" s="494"/>
      <c r="E9" s="494"/>
      <c r="F9" s="494"/>
      <c r="G9" s="494"/>
      <c r="H9" s="494"/>
      <c r="I9" s="494"/>
      <c r="J9" s="494"/>
      <c r="K9" s="494"/>
    </row>
    <row r="10" spans="1:17" s="164" customFormat="1" ht="15" customHeight="1" x14ac:dyDescent="0.25">
      <c r="D10" s="309"/>
      <c r="E10" s="309"/>
      <c r="F10" s="309"/>
      <c r="G10" s="309"/>
    </row>
    <row r="11" spans="1:17" ht="15" customHeight="1" x14ac:dyDescent="0.2">
      <c r="D11" s="281" t="s">
        <v>671</v>
      </c>
      <c r="G11" s="237">
        <v>3.5</v>
      </c>
      <c r="H11" s="265" t="s">
        <v>352</v>
      </c>
      <c r="I11" s="237">
        <v>2.5</v>
      </c>
      <c r="J11" s="265" t="s">
        <v>672</v>
      </c>
      <c r="K11" s="310">
        <f>10000/(G11*I11)</f>
        <v>1142.8571428571429</v>
      </c>
      <c r="L11" s="281" t="s">
        <v>353</v>
      </c>
    </row>
    <row r="12" spans="1:17" ht="15" customHeight="1" x14ac:dyDescent="0.2">
      <c r="E12" s="263"/>
      <c r="F12" s="265"/>
      <c r="G12" s="263"/>
      <c r="H12" s="265"/>
      <c r="I12" s="265"/>
      <c r="J12" s="281"/>
    </row>
    <row r="13" spans="1:17" ht="15" customHeight="1" x14ac:dyDescent="0.2">
      <c r="D13" s="281" t="s">
        <v>338</v>
      </c>
      <c r="F13" s="256"/>
      <c r="G13" s="237">
        <v>12</v>
      </c>
      <c r="H13" s="170" t="s">
        <v>1893</v>
      </c>
      <c r="I13" s="275"/>
      <c r="J13" s="222"/>
      <c r="K13" s="280"/>
      <c r="L13" s="27"/>
    </row>
    <row r="14" spans="1:17" s="60" customFormat="1" ht="15" customHeight="1" x14ac:dyDescent="0.2">
      <c r="E14" s="266"/>
      <c r="F14" s="256"/>
      <c r="G14" s="237">
        <v>150</v>
      </c>
      <c r="H14" s="170" t="s">
        <v>1894</v>
      </c>
      <c r="I14" s="266"/>
      <c r="J14" s="266"/>
      <c r="K14" s="266"/>
      <c r="L14" s="266"/>
      <c r="M14" s="266"/>
    </row>
    <row r="15" spans="1:17" s="60" customFormat="1" ht="15" customHeight="1" x14ac:dyDescent="0.2">
      <c r="D15" s="281"/>
      <c r="E15" s="281"/>
      <c r="F15" s="281"/>
      <c r="G15" s="237">
        <v>20</v>
      </c>
      <c r="H15" s="170" t="s">
        <v>1879</v>
      </c>
      <c r="I15" s="283"/>
      <c r="J15" s="283"/>
      <c r="K15" s="266"/>
      <c r="O15" s="27"/>
      <c r="P15" s="27"/>
      <c r="Q15" s="296"/>
    </row>
    <row r="16" spans="1:17" ht="15" customHeight="1" x14ac:dyDescent="0.3">
      <c r="F16" s="281"/>
      <c r="G16" s="5">
        <v>7</v>
      </c>
      <c r="H16" s="170" t="s">
        <v>1880</v>
      </c>
      <c r="I16" s="283"/>
      <c r="J16" s="283"/>
      <c r="Q16" s="27"/>
    </row>
    <row r="17" spans="4:24" ht="15" customHeight="1" x14ac:dyDescent="0.2">
      <c r="Q17" s="27"/>
    </row>
    <row r="18" spans="4:24" ht="15" customHeight="1" x14ac:dyDescent="0.2">
      <c r="D18" s="170" t="s">
        <v>340</v>
      </c>
      <c r="F18" s="281"/>
      <c r="G18" s="237">
        <v>90</v>
      </c>
      <c r="H18" s="49" t="s">
        <v>341</v>
      </c>
      <c r="Q18" s="27"/>
      <c r="W18" s="27"/>
      <c r="X18" s="27"/>
    </row>
    <row r="19" spans="4:24" ht="15" customHeight="1" x14ac:dyDescent="0.2">
      <c r="F19" s="283"/>
      <c r="G19" s="208"/>
      <c r="H19" s="273"/>
      <c r="I19" s="283"/>
      <c r="J19" s="283"/>
      <c r="K19" s="263"/>
      <c r="O19" s="289"/>
      <c r="P19" s="27"/>
      <c r="Q19" s="27"/>
    </row>
    <row r="20" spans="4:24" ht="15" customHeight="1" x14ac:dyDescent="0.25">
      <c r="D20" s="291" t="s">
        <v>371</v>
      </c>
      <c r="I20" s="272"/>
      <c r="J20" s="272"/>
      <c r="K20" s="272"/>
      <c r="O20" s="283"/>
      <c r="P20" s="283"/>
      <c r="Q20" s="27"/>
    </row>
    <row r="21" spans="4:24" ht="15" customHeight="1" x14ac:dyDescent="0.2">
      <c r="H21" s="281"/>
      <c r="I21" s="283"/>
      <c r="J21" s="283"/>
      <c r="K21" s="263"/>
      <c r="O21" s="283"/>
      <c r="P21" s="283"/>
    </row>
    <row r="22" spans="4:24" ht="15" customHeight="1" x14ac:dyDescent="0.2">
      <c r="D22" s="292" t="s">
        <v>1708</v>
      </c>
      <c r="G22" s="220">
        <f>IF(W22&gt;0,W22,0)</f>
        <v>3.8888888888888888</v>
      </c>
      <c r="H22" s="280" t="s">
        <v>1246</v>
      </c>
      <c r="I22" s="281"/>
      <c r="J22" s="281"/>
      <c r="K22" s="281"/>
      <c r="L22" s="281"/>
      <c r="M22" s="281"/>
      <c r="W22" s="315">
        <f xml:space="preserve"> G16*(70-G15)/G18</f>
        <v>3.8888888888888888</v>
      </c>
      <c r="X22" s="26" t="s">
        <v>349</v>
      </c>
    </row>
    <row r="23" spans="4:24" ht="15" customHeight="1" x14ac:dyDescent="0.2">
      <c r="D23" s="292"/>
      <c r="G23" s="220"/>
      <c r="H23" s="280"/>
      <c r="I23" s="281"/>
      <c r="J23" s="281"/>
      <c r="K23" s="281"/>
      <c r="L23" s="281"/>
      <c r="M23" s="281"/>
      <c r="W23" s="49"/>
      <c r="X23" s="49"/>
    </row>
    <row r="24" spans="4:24" ht="15" customHeight="1" x14ac:dyDescent="0.2">
      <c r="F24" s="225" t="s">
        <v>637</v>
      </c>
      <c r="G24" s="491">
        <f>1000*((W24*5)/K11)</f>
        <v>437.5</v>
      </c>
      <c r="H24" s="280" t="s">
        <v>372</v>
      </c>
      <c r="I24" s="169" t="s">
        <v>1892</v>
      </c>
      <c r="K24" s="281"/>
      <c r="L24" s="281"/>
      <c r="M24" s="281"/>
      <c r="W24" s="325" t="str">
        <f>IF(G13&lt;10,"150",IF(AND(G13&gt;=10,G13&lt;20),"100",IF(AND(G13&gt;=20,G13&lt;50),"140",0)))</f>
        <v>100</v>
      </c>
      <c r="X24" s="26" t="s">
        <v>651</v>
      </c>
    </row>
    <row r="25" spans="4:24" ht="15" customHeight="1" x14ac:dyDescent="0.2">
      <c r="F25" s="226" t="s">
        <v>1139</v>
      </c>
      <c r="G25" s="492">
        <f>1000*((W25*5)/K11)/3</f>
        <v>204.16666666666663</v>
      </c>
      <c r="H25" s="280" t="s">
        <v>372</v>
      </c>
      <c r="I25" s="222" t="str">
        <f>IF(G14&lt;60,"20-00-30.",IF(AND(G14&gt;=60,G14&lt;120),"20-00-20.",IF(AND(G14&gt;=120,G14&lt;200),"20-00-15.",IF(AND(G14&gt;=200,G14&lt;280),"20-00-10.","Sultato de Amônio."))))</f>
        <v>20-00-15.</v>
      </c>
      <c r="K25" s="281"/>
      <c r="L25" s="281"/>
      <c r="M25" s="281"/>
      <c r="W25" s="171">
        <v>140</v>
      </c>
      <c r="X25" s="26" t="s">
        <v>652</v>
      </c>
    </row>
    <row r="26" spans="4:24" ht="15" customHeight="1" x14ac:dyDescent="0.2">
      <c r="F26" s="317"/>
      <c r="G26" s="220"/>
      <c r="H26" s="280"/>
      <c r="I26" s="281"/>
      <c r="J26" s="281"/>
      <c r="K26" s="281"/>
      <c r="L26" s="281"/>
      <c r="M26" s="281"/>
    </row>
    <row r="27" spans="4:24" ht="15" customHeight="1" x14ac:dyDescent="0.2">
      <c r="D27" s="169"/>
      <c r="H27" s="272"/>
    </row>
    <row r="28" spans="4:24" s="49" customFormat="1" ht="15" customHeight="1" x14ac:dyDescent="0.2">
      <c r="H28" s="272"/>
    </row>
    <row r="29" spans="4:24" s="281" customFormat="1" ht="15" customHeight="1" x14ac:dyDescent="0.2">
      <c r="D29" s="273"/>
    </row>
    <row r="30" spans="4:24" s="281" customFormat="1" ht="15" customHeight="1" x14ac:dyDescent="0.2">
      <c r="D30" s="273"/>
    </row>
    <row r="31" spans="4:24" ht="15" customHeight="1" x14ac:dyDescent="0.2">
      <c r="D31" s="169"/>
      <c r="H31" s="272"/>
    </row>
    <row r="32" spans="4:24" s="60" customFormat="1" ht="15" customHeight="1" x14ac:dyDescent="0.2">
      <c r="D32" s="226" t="s">
        <v>891</v>
      </c>
      <c r="E32" s="714"/>
      <c r="F32" s="714"/>
      <c r="G32" s="60" t="s">
        <v>373</v>
      </c>
    </row>
    <row r="33" spans="2:7" s="60" customFormat="1" ht="15" customHeight="1" x14ac:dyDescent="0.2">
      <c r="D33" s="267"/>
    </row>
    <row r="34" spans="2:7" s="60" customFormat="1" ht="15" hidden="1" customHeight="1" x14ac:dyDescent="0.2">
      <c r="B34" s="267"/>
    </row>
    <row r="35" spans="2:7" s="60" customFormat="1" ht="15" hidden="1" customHeight="1" x14ac:dyDescent="0.2">
      <c r="B35" s="267"/>
    </row>
    <row r="36" spans="2:7" s="60" customFormat="1" ht="15" hidden="1" customHeight="1" x14ac:dyDescent="0.2">
      <c r="B36" s="267"/>
    </row>
    <row r="37" spans="2:7" s="60" customFormat="1" ht="15" hidden="1" customHeight="1" x14ac:dyDescent="0.2">
      <c r="B37" s="267"/>
      <c r="G37" s="266"/>
    </row>
    <row r="38" spans="2:7" s="60" customFormat="1" ht="15" hidden="1" customHeight="1" x14ac:dyDescent="0.2">
      <c r="B38" s="267"/>
    </row>
    <row r="39" spans="2:7" s="60" customFormat="1" ht="15" hidden="1" customHeight="1" x14ac:dyDescent="0.2">
      <c r="B39" s="267"/>
    </row>
    <row r="40" spans="2:7" s="60" customFormat="1" ht="15" hidden="1" customHeight="1" x14ac:dyDescent="0.2">
      <c r="B40" s="267"/>
    </row>
    <row r="41" spans="2:7" s="60" customFormat="1" ht="15" hidden="1" customHeight="1" x14ac:dyDescent="0.2">
      <c r="B41" s="266"/>
    </row>
    <row r="42" spans="2:7" ht="15" customHeight="1" x14ac:dyDescent="0.2"/>
  </sheetData>
  <sheetProtection algorithmName="SHA-512" hashValue="l+KlHf1t41LtgkolM2tv2as6sdIFWTyjWmktcKG4iODWAtN6wIQduBVku7H8OnwlaWJ/gGj8O7U5yG9XkKQrpQ==" saltValue="8xIcm/uYzvi/tuf5/BHnug==" spinCount="100000" sheet="1" objects="1" scenarios="1" selectLockedCells="1"/>
  <mergeCells count="3">
    <mergeCell ref="E32:F32"/>
    <mergeCell ref="E8:M8"/>
    <mergeCell ref="C6:N6"/>
  </mergeCells>
  <printOptions horizontalCentered="1"/>
  <pageMargins left="0.78740157480314998" right="0.78740157480314998" top="0.78740157480314998" bottom="0.78740157480314998" header="0.511811023622047" footer="0.511811023622047"/>
  <pageSetup paperSize="9" scale="79" fitToHeight="2" orientation="portrait" cellComments="atEnd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3">
    <pageSetUpPr fitToPage="1"/>
  </sheetPr>
  <dimension ref="A1:T29"/>
  <sheetViews>
    <sheetView showGridLines="0" showRowColHeaders="0" zoomScaleNormal="100" workbookViewId="0"/>
  </sheetViews>
  <sheetFormatPr defaultColWidth="0" defaultRowHeight="15" customHeight="1" zeroHeight="1" x14ac:dyDescent="0.2"/>
  <cols>
    <col min="1" max="16" width="9.140625" style="266" customWidth="1"/>
    <col min="17" max="20" width="0" style="266" hidden="1" customWidth="1"/>
    <col min="21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35">
      <c r="A6" s="35"/>
      <c r="B6" s="35"/>
      <c r="C6" s="699" t="s">
        <v>1954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35"/>
      <c r="P6" s="35"/>
    </row>
    <row r="7" spans="1:16" ht="15" customHeight="1" x14ac:dyDescent="0.25">
      <c r="D7" s="653" t="s">
        <v>1728</v>
      </c>
    </row>
    <row r="8" spans="1:16" ht="15" customHeight="1" x14ac:dyDescent="0.2">
      <c r="D8" s="654" t="s">
        <v>1014</v>
      </c>
      <c r="E8" s="40"/>
    </row>
    <row r="9" spans="1:16" ht="15" customHeight="1" x14ac:dyDescent="0.2">
      <c r="D9" s="654" t="s">
        <v>1015</v>
      </c>
      <c r="G9" s="46"/>
      <c r="H9" s="46"/>
      <c r="I9" s="46"/>
      <c r="J9" s="46"/>
      <c r="K9" s="46"/>
      <c r="L9" s="46"/>
      <c r="M9" s="46"/>
    </row>
    <row r="10" spans="1:16" ht="15" customHeight="1" x14ac:dyDescent="0.2">
      <c r="D10" s="654" t="s">
        <v>1016</v>
      </c>
      <c r="G10" s="46"/>
      <c r="H10" s="46"/>
      <c r="I10" s="46"/>
      <c r="J10" s="46"/>
      <c r="K10" s="46"/>
      <c r="L10" s="46"/>
      <c r="M10" s="46"/>
    </row>
    <row r="11" spans="1:16" ht="15" customHeight="1" x14ac:dyDescent="0.2">
      <c r="D11" s="654" t="s">
        <v>1183</v>
      </c>
      <c r="G11" s="46"/>
      <c r="H11" s="46"/>
      <c r="I11" s="46"/>
      <c r="J11" s="46"/>
      <c r="K11" s="46"/>
      <c r="L11" s="46"/>
      <c r="M11" s="46"/>
    </row>
    <row r="12" spans="1:16" ht="15" customHeight="1" x14ac:dyDescent="0.2">
      <c r="D12" s="654" t="s">
        <v>1017</v>
      </c>
      <c r="F12" s="46"/>
      <c r="G12" s="46"/>
      <c r="H12" s="46"/>
      <c r="I12" s="46"/>
      <c r="J12" s="46"/>
      <c r="K12" s="46"/>
      <c r="L12" s="46"/>
      <c r="M12" s="46"/>
    </row>
    <row r="13" spans="1:16" ht="15" customHeight="1" x14ac:dyDescent="0.2">
      <c r="F13" s="46"/>
      <c r="G13" s="46"/>
      <c r="H13" s="46"/>
      <c r="I13" s="46"/>
      <c r="J13" s="46"/>
      <c r="K13" s="46"/>
      <c r="L13" s="46"/>
      <c r="M13" s="46"/>
    </row>
    <row r="14" spans="1:16" ht="15" customHeight="1" x14ac:dyDescent="0.25">
      <c r="D14" s="653" t="s">
        <v>1729</v>
      </c>
      <c r="H14" s="46"/>
      <c r="I14" s="46"/>
      <c r="J14" s="46"/>
      <c r="K14" s="46"/>
      <c r="L14" s="46"/>
      <c r="M14" s="46"/>
    </row>
    <row r="15" spans="1:16" ht="15" customHeight="1" x14ac:dyDescent="0.2">
      <c r="D15" s="655" t="s">
        <v>2096</v>
      </c>
      <c r="E15" s="46" t="s">
        <v>17</v>
      </c>
      <c r="H15" s="46"/>
      <c r="I15" s="46"/>
      <c r="J15" s="46"/>
      <c r="K15" s="46"/>
      <c r="L15" s="46"/>
      <c r="M15" s="46"/>
    </row>
    <row r="16" spans="1:16" ht="15" customHeight="1" x14ac:dyDescent="0.2">
      <c r="D16" s="655"/>
      <c r="E16" s="46"/>
      <c r="H16" s="46"/>
      <c r="I16" s="46"/>
      <c r="J16" s="46"/>
      <c r="K16" s="46"/>
      <c r="L16" s="46"/>
      <c r="M16" s="46"/>
    </row>
    <row r="17" spans="4:20" ht="15" customHeight="1" x14ac:dyDescent="0.2">
      <c r="D17" s="655" t="s">
        <v>2097</v>
      </c>
      <c r="E17" s="46" t="s">
        <v>18</v>
      </c>
      <c r="H17" s="46"/>
      <c r="I17" s="46"/>
      <c r="J17" s="46"/>
      <c r="K17" s="46"/>
      <c r="L17" s="46"/>
      <c r="M17" s="46"/>
    </row>
    <row r="18" spans="4:20" ht="15" customHeight="1" x14ac:dyDescent="0.2">
      <c r="D18" s="655"/>
      <c r="E18" s="46" t="s">
        <v>21</v>
      </c>
      <c r="H18" s="46"/>
      <c r="I18" s="46"/>
      <c r="J18" s="46"/>
      <c r="K18" s="46"/>
      <c r="L18" s="46"/>
      <c r="M18" s="46"/>
    </row>
    <row r="19" spans="4:20" ht="15" customHeight="1" x14ac:dyDescent="0.2">
      <c r="D19" s="655"/>
      <c r="E19" s="46"/>
      <c r="H19" s="46"/>
      <c r="I19" s="46"/>
      <c r="J19" s="46"/>
      <c r="K19" s="46"/>
      <c r="L19" s="46"/>
      <c r="M19" s="46"/>
    </row>
    <row r="20" spans="4:20" ht="15" customHeight="1" x14ac:dyDescent="0.2">
      <c r="D20" s="655" t="s">
        <v>924</v>
      </c>
      <c r="E20" s="46" t="s">
        <v>19</v>
      </c>
      <c r="H20" s="46"/>
      <c r="I20" s="46"/>
      <c r="J20" s="46"/>
      <c r="K20" s="46"/>
      <c r="L20" s="46"/>
      <c r="M20" s="46"/>
    </row>
    <row r="21" spans="4:20" ht="15" customHeight="1" x14ac:dyDescent="0.2">
      <c r="D21" s="655"/>
      <c r="E21" s="46" t="s">
        <v>22</v>
      </c>
      <c r="H21" s="46"/>
      <c r="I21" s="46"/>
      <c r="J21" s="46"/>
      <c r="K21" s="46"/>
      <c r="L21" s="46"/>
      <c r="M21" s="46"/>
    </row>
    <row r="22" spans="4:20" ht="15" customHeight="1" x14ac:dyDescent="0.2">
      <c r="D22" s="655"/>
      <c r="E22" s="46"/>
      <c r="H22" s="46"/>
      <c r="I22" s="46"/>
      <c r="J22" s="46"/>
      <c r="K22" s="46"/>
      <c r="L22" s="46"/>
      <c r="M22" s="46"/>
    </row>
    <row r="23" spans="4:20" ht="15" customHeight="1" x14ac:dyDescent="0.2">
      <c r="D23" s="655" t="s">
        <v>2098</v>
      </c>
      <c r="E23" s="46" t="s">
        <v>20</v>
      </c>
      <c r="H23" s="46"/>
      <c r="I23" s="46"/>
      <c r="J23" s="46"/>
      <c r="K23" s="46"/>
      <c r="L23" s="46"/>
      <c r="M23" s="46"/>
    </row>
    <row r="24" spans="4:20" ht="15" customHeight="1" x14ac:dyDescent="0.2">
      <c r="D24" s="655"/>
      <c r="E24" s="46" t="s">
        <v>23</v>
      </c>
      <c r="H24" s="46"/>
      <c r="I24" s="46"/>
      <c r="J24" s="46"/>
      <c r="K24" s="46"/>
      <c r="L24" s="46"/>
      <c r="M24" s="46"/>
    </row>
    <row r="25" spans="4:20" ht="15" customHeight="1" x14ac:dyDescent="0.2">
      <c r="D25" s="655"/>
      <c r="E25" s="46" t="s">
        <v>955</v>
      </c>
      <c r="H25" s="46"/>
      <c r="I25" s="46"/>
      <c r="J25" s="46"/>
      <c r="K25" s="46"/>
      <c r="L25" s="46"/>
      <c r="M25" s="46"/>
    </row>
    <row r="26" spans="4:20" ht="15" customHeight="1" x14ac:dyDescent="0.2">
      <c r="D26" s="655"/>
      <c r="E26" s="46"/>
      <c r="H26" s="46"/>
      <c r="I26" s="46"/>
      <c r="J26" s="46"/>
    </row>
    <row r="27" spans="4:20" ht="15" customHeight="1" x14ac:dyDescent="0.2">
      <c r="D27" s="655" t="s">
        <v>2099</v>
      </c>
      <c r="E27" s="46" t="s">
        <v>1012</v>
      </c>
      <c r="H27" s="46"/>
      <c r="I27" s="46"/>
      <c r="J27" s="46"/>
    </row>
    <row r="28" spans="4:20" ht="15" customHeight="1" x14ac:dyDescent="0.2">
      <c r="D28" s="46"/>
      <c r="E28" s="46" t="s">
        <v>1013</v>
      </c>
      <c r="T28" s="49"/>
    </row>
    <row r="29" spans="4:20" ht="15" customHeight="1" x14ac:dyDescent="0.2"/>
  </sheetData>
  <sheetProtection algorithmName="SHA-512" hashValue="mdQIy3m1tYQpu5V5HopbTmTEFugCR9YYDVc2vGZnBGj15Y8i0sUhoK/8uUUXsNoEJTJ67NHLMsUBLakS/+07mA==" saltValue="4Z7J0DAqhwxTavkLgKQqDQ==" spinCount="100000" sheet="1" objects="1" scenarios="1"/>
  <mergeCells count="1">
    <mergeCell ref="C6:N6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fitToHeight="0" orientation="portrait" horizontalDpi="360" verticalDpi="36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>
    <pageSetUpPr fitToPage="1"/>
  </sheetPr>
  <dimension ref="A1:P18"/>
  <sheetViews>
    <sheetView showGridLines="0" showRowColHeaders="0" zoomScaleNormal="100" zoomScaleSheetLayoutView="100" workbookViewId="0"/>
  </sheetViews>
  <sheetFormatPr defaultRowHeight="12.75" x14ac:dyDescent="0.2"/>
  <cols>
    <col min="1" max="16384" width="9.140625" style="266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35" customFormat="1" ht="23.25" x14ac:dyDescent="0.35">
      <c r="C6" s="699" t="s">
        <v>1766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s="32" customFormat="1" ht="15" customHeight="1" thickBot="1" x14ac:dyDescent="0.4">
      <c r="G7" s="778" t="s">
        <v>2066</v>
      </c>
      <c r="H7" s="778"/>
      <c r="I7" s="778"/>
      <c r="J7" s="778"/>
    </row>
    <row r="8" spans="1:16" ht="24.95" customHeight="1" thickTop="1" thickBot="1" x14ac:dyDescent="0.25">
      <c r="E8" s="711" t="str">
        <f>HYPERLINK("#"&amp;"'Substrato'!h1","Substrato para a produção de mudas")</f>
        <v>Substrato para a produção de mudas</v>
      </c>
      <c r="F8" s="711"/>
      <c r="G8" s="711"/>
      <c r="H8" s="711"/>
      <c r="I8" s="711"/>
      <c r="J8" s="711"/>
      <c r="K8" s="711"/>
      <c r="L8" s="711"/>
    </row>
    <row r="9" spans="1:16" s="34" customFormat="1" ht="24.95" customHeight="1" thickTop="1" thickBot="1" x14ac:dyDescent="0.25">
      <c r="E9" s="711" t="str">
        <f>HYPERLINK("#"&amp;"'PlantioForm'!h1","Plantio e formação")</f>
        <v>Plantio e formação</v>
      </c>
      <c r="F9" s="711"/>
      <c r="G9" s="711"/>
      <c r="H9" s="711"/>
      <c r="I9" s="711"/>
      <c r="J9" s="711"/>
      <c r="K9" s="711"/>
      <c r="L9" s="711"/>
    </row>
    <row r="10" spans="1:16" s="34" customFormat="1" ht="24.95" customHeight="1" thickTop="1" thickBot="1" x14ac:dyDescent="0.25">
      <c r="E10" s="711" t="str">
        <f>HYPERLINK("#"&amp;"'ArabicaProd'!h1","Lavoura em produção")</f>
        <v>Lavoura em produção</v>
      </c>
      <c r="F10" s="711"/>
      <c r="G10" s="711"/>
      <c r="H10" s="711"/>
      <c r="I10" s="711"/>
      <c r="J10" s="711"/>
      <c r="K10" s="711"/>
      <c r="L10" s="711"/>
    </row>
    <row r="11" spans="1:16" s="34" customFormat="1" ht="24.95" customHeight="1" thickTop="1" thickBot="1" x14ac:dyDescent="0.25">
      <c r="E11" s="711" t="str">
        <f>HYPERLINK("#"&amp;"'ArabicaRecep'!h1","Lavoura recepada")</f>
        <v>Lavoura recepada</v>
      </c>
      <c r="F11" s="711"/>
      <c r="G11" s="711"/>
      <c r="H11" s="711"/>
      <c r="I11" s="711"/>
      <c r="J11" s="711"/>
      <c r="K11" s="711"/>
      <c r="L11" s="711"/>
    </row>
    <row r="12" spans="1:16" ht="24.95" customHeight="1" thickTop="1" thickBot="1" x14ac:dyDescent="0.25">
      <c r="E12" s="711" t="str">
        <f>HYPERLINK("#"&amp;"'RecomendacaoMicro'!h1","Recomendação de micronutrientes")</f>
        <v>Recomendação de micronutrientes</v>
      </c>
      <c r="F12" s="711"/>
      <c r="G12" s="711"/>
      <c r="H12" s="711"/>
      <c r="I12" s="711"/>
      <c r="J12" s="711"/>
      <c r="K12" s="711"/>
      <c r="L12" s="711"/>
    </row>
    <row r="13" spans="1:16" ht="24.95" customHeight="1" thickTop="1" thickBot="1" x14ac:dyDescent="0.25">
      <c r="E13" s="711" t="str">
        <f>HYPERLINK("#"&amp;"'AmostragemCafe'!h1","Técnica de amostragem")</f>
        <v>Técnica de amostragem</v>
      </c>
      <c r="F13" s="711"/>
      <c r="G13" s="711"/>
      <c r="H13" s="711"/>
      <c r="I13" s="711"/>
      <c r="J13" s="711"/>
      <c r="K13" s="711"/>
      <c r="L13" s="711"/>
    </row>
    <row r="14" spans="1:16" ht="24.95" customHeight="1" thickTop="1" thickBot="1" x14ac:dyDescent="0.25">
      <c r="E14" s="711" t="str">
        <f>HYPERLINK("#"&amp;"'DoseARC'!h1","Cálculo da dose de água residuária (fertirrigação)")</f>
        <v>Cálculo da dose de água residuária (fertirrigação)</v>
      </c>
      <c r="F14" s="711"/>
      <c r="G14" s="711"/>
      <c r="H14" s="711"/>
      <c r="I14" s="711"/>
      <c r="J14" s="711"/>
      <c r="K14" s="711"/>
      <c r="L14" s="711"/>
    </row>
    <row r="15" spans="1:16" ht="24.95" customHeight="1" thickTop="1" thickBot="1" x14ac:dyDescent="0.25">
      <c r="E15" s="711" t="str">
        <f>HYPERLINK("#"&amp;"'InfoArabica'!h1","Informações agronômicas")</f>
        <v>Informações agronômicas</v>
      </c>
      <c r="F15" s="711"/>
      <c r="G15" s="711"/>
      <c r="H15" s="711"/>
      <c r="I15" s="711"/>
      <c r="J15" s="711"/>
      <c r="K15" s="711"/>
      <c r="L15" s="711"/>
    </row>
    <row r="16" spans="1:16" ht="24.95" customHeight="1" thickTop="1" thickBot="1" x14ac:dyDescent="0.25">
      <c r="E16" s="711" t="str">
        <f>HYPERLINK("#"&amp;"'ArabicaCusteio'!h1","Custeio simplificado")</f>
        <v>Custeio simplificado</v>
      </c>
      <c r="F16" s="711"/>
      <c r="G16" s="711"/>
      <c r="H16" s="711"/>
      <c r="I16" s="711"/>
      <c r="J16" s="711"/>
      <c r="K16" s="711"/>
      <c r="L16" s="711"/>
    </row>
    <row r="17" spans="1:9" ht="15.75" thickTop="1" x14ac:dyDescent="0.2">
      <c r="E17" s="56"/>
      <c r="F17" s="56"/>
      <c r="G17" s="56"/>
      <c r="H17" s="56"/>
      <c r="I17" s="56"/>
    </row>
    <row r="18" spans="1:9" x14ac:dyDescent="0.2">
      <c r="A18" s="57"/>
    </row>
  </sheetData>
  <sheetProtection algorithmName="SHA-512" hashValue="GqVsoqiwtinYW4W560qhjt5I1e+Gw46lhFWxJZ+m1HD4d2YIeBU3jUUi9RpnC2gMslT9LjxO1tGguJ3tE3GpQg==" saltValue="l1/oESKdRAV43jBz6Kw2ag==" spinCount="100000" sheet="1" objects="1" scenarios="1"/>
  <mergeCells count="11">
    <mergeCell ref="E14:L14"/>
    <mergeCell ref="E12:L12"/>
    <mergeCell ref="E13:L13"/>
    <mergeCell ref="E15:L15"/>
    <mergeCell ref="E16:L16"/>
    <mergeCell ref="E8:L8"/>
    <mergeCell ref="E9:L9"/>
    <mergeCell ref="E10:L10"/>
    <mergeCell ref="E11:L11"/>
    <mergeCell ref="C6:N6"/>
    <mergeCell ref="G7:J7"/>
  </mergeCells>
  <phoneticPr fontId="0" type="noConversion"/>
  <hyperlinks>
    <hyperlink ref="A18" location="DoseARC!A1" display="Cálculo da dose de água residuária a ser aplicada ao solo (Fertirrigação)"/>
  </hyperlinks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>
    <pageSetUpPr fitToPage="1"/>
  </sheetPr>
  <dimension ref="A1:R26"/>
  <sheetViews>
    <sheetView showGridLines="0" showRowColHeaders="0" zoomScaleNormal="100" zoomScaleSheetLayoutView="118" workbookViewId="0">
      <selection activeCell="H9" sqref="H9"/>
    </sheetView>
  </sheetViews>
  <sheetFormatPr defaultColWidth="0" defaultRowHeight="15" customHeight="1" zeroHeight="1" x14ac:dyDescent="0.2"/>
  <cols>
    <col min="1" max="2" width="9.140625" style="266" customWidth="1"/>
    <col min="3" max="3" width="9.140625" style="265" customWidth="1"/>
    <col min="4" max="16" width="9.140625" style="266" customWidth="1"/>
    <col min="17" max="17" width="0" style="266" hidden="1" customWidth="1"/>
    <col min="18" max="18" width="0" style="265" hidden="1" customWidth="1"/>
    <col min="19" max="16384" width="9.140625" style="266" hidden="1"/>
  </cols>
  <sheetData>
    <row r="1" spans="1:16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39.950000000000003" customHeight="1" x14ac:dyDescent="0.35">
      <c r="A6" s="35"/>
      <c r="B6" s="35"/>
      <c r="C6" s="779" t="s">
        <v>1961</v>
      </c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35"/>
      <c r="P6" s="35"/>
    </row>
    <row r="7" spans="1:16" ht="15" customHeight="1" x14ac:dyDescent="0.25">
      <c r="B7" s="649"/>
    </row>
    <row r="8" spans="1:16" ht="15" customHeight="1" x14ac:dyDescent="0.2">
      <c r="C8" s="256"/>
      <c r="D8" s="650" t="s">
        <v>1959</v>
      </c>
      <c r="E8" s="49"/>
      <c r="F8" s="49"/>
      <c r="H8" s="49"/>
      <c r="I8" s="49"/>
      <c r="J8" s="49"/>
    </row>
    <row r="9" spans="1:16" ht="15" customHeight="1" x14ac:dyDescent="0.2">
      <c r="C9" s="49"/>
      <c r="D9" s="356" t="s">
        <v>1490</v>
      </c>
      <c r="E9" s="49"/>
      <c r="F9" s="49"/>
      <c r="H9" s="9">
        <v>90</v>
      </c>
      <c r="I9" s="49" t="s">
        <v>1955</v>
      </c>
      <c r="J9" s="49"/>
    </row>
    <row r="10" spans="1:16" ht="15" customHeight="1" x14ac:dyDescent="0.3">
      <c r="C10" s="49"/>
      <c r="D10" s="356" t="s">
        <v>1491</v>
      </c>
      <c r="E10" s="49"/>
      <c r="F10" s="49"/>
      <c r="H10" s="9">
        <v>6</v>
      </c>
      <c r="I10" s="49" t="s">
        <v>1956</v>
      </c>
      <c r="J10" s="49"/>
    </row>
    <row r="11" spans="1:16" ht="15" customHeight="1" x14ac:dyDescent="0.2">
      <c r="C11" s="49"/>
      <c r="D11" s="356" t="s">
        <v>1492</v>
      </c>
      <c r="E11" s="49"/>
      <c r="F11" s="49"/>
      <c r="H11" s="9">
        <v>200</v>
      </c>
      <c r="I11" s="49" t="s">
        <v>977</v>
      </c>
      <c r="J11" s="49"/>
    </row>
    <row r="12" spans="1:16" ht="15" customHeight="1" x14ac:dyDescent="0.2">
      <c r="C12" s="49"/>
      <c r="D12" s="49"/>
      <c r="E12" s="49"/>
      <c r="F12" s="49"/>
      <c r="G12" s="256"/>
      <c r="H12" s="49"/>
      <c r="I12" s="49"/>
      <c r="J12" s="49"/>
    </row>
    <row r="13" spans="1:16" ht="15" customHeight="1" x14ac:dyDescent="0.2">
      <c r="C13" s="49"/>
      <c r="D13" s="650" t="s">
        <v>1960</v>
      </c>
      <c r="E13" s="49"/>
      <c r="F13" s="49"/>
      <c r="G13" s="256"/>
      <c r="H13" s="49"/>
      <c r="I13" s="49"/>
      <c r="J13" s="49"/>
    </row>
    <row r="14" spans="1:16" ht="15" customHeight="1" x14ac:dyDescent="0.2">
      <c r="C14" s="49"/>
      <c r="D14" s="49" t="s">
        <v>1493</v>
      </c>
      <c r="E14" s="49"/>
      <c r="F14" s="49"/>
      <c r="H14" s="353">
        <f>(H9/390)/H10*100</f>
        <v>3.8461538461538463</v>
      </c>
      <c r="I14" s="26" t="s">
        <v>341</v>
      </c>
      <c r="J14" s="49"/>
    </row>
    <row r="15" spans="1:16" ht="15" customHeight="1" x14ac:dyDescent="0.2">
      <c r="C15" s="49"/>
      <c r="D15" s="49" t="s">
        <v>1494</v>
      </c>
      <c r="E15" s="49"/>
      <c r="F15" s="49"/>
      <c r="H15" s="256">
        <f>(5-H14)/100*H10*390*2</f>
        <v>53.999999999999993</v>
      </c>
      <c r="I15" s="49" t="s">
        <v>445</v>
      </c>
      <c r="J15" s="49"/>
    </row>
    <row r="16" spans="1:16" ht="15" customHeight="1" x14ac:dyDescent="0.2">
      <c r="C16" s="49"/>
      <c r="D16" s="49"/>
      <c r="E16" s="49"/>
      <c r="F16" s="49"/>
      <c r="H16" s="256"/>
      <c r="I16" s="49"/>
      <c r="J16" s="49"/>
    </row>
    <row r="17" spans="2:12" ht="15" customHeight="1" x14ac:dyDescent="0.2">
      <c r="C17" s="49"/>
      <c r="D17" s="169" t="s">
        <v>1495</v>
      </c>
      <c r="E17" s="49"/>
      <c r="F17" s="49"/>
      <c r="H17" s="651">
        <f>H15*1000/H11</f>
        <v>269.99999999999994</v>
      </c>
      <c r="I17" s="49" t="s">
        <v>1957</v>
      </c>
      <c r="J17" s="31" t="s">
        <v>1496</v>
      </c>
      <c r="K17" s="651">
        <f>H17/10</f>
        <v>26.999999999999993</v>
      </c>
      <c r="L17" s="49" t="s">
        <v>1958</v>
      </c>
    </row>
    <row r="18" spans="2:12" ht="15" customHeight="1" x14ac:dyDescent="0.2">
      <c r="B18" s="49"/>
      <c r="C18" s="49"/>
      <c r="D18" s="49"/>
      <c r="E18" s="49"/>
      <c r="F18" s="49"/>
      <c r="I18" s="49"/>
      <c r="J18" s="49"/>
    </row>
    <row r="19" spans="2:12" ht="15" hidden="1" customHeight="1" x14ac:dyDescent="0.2">
      <c r="B19" s="49"/>
      <c r="C19" s="49"/>
      <c r="D19" s="49"/>
      <c r="E19" s="49"/>
      <c r="F19" s="49"/>
      <c r="J19" s="49"/>
    </row>
    <row r="20" spans="2:12" ht="15" hidden="1" customHeight="1" x14ac:dyDescent="0.2">
      <c r="B20" s="49"/>
      <c r="C20" s="256"/>
      <c r="D20" s="49"/>
      <c r="E20" s="49"/>
      <c r="F20" s="49"/>
      <c r="G20" s="49"/>
      <c r="H20" s="49"/>
      <c r="I20" s="49"/>
      <c r="J20" s="49"/>
    </row>
    <row r="21" spans="2:12" ht="15" hidden="1" customHeight="1" x14ac:dyDescent="0.2"/>
    <row r="22" spans="2:12" ht="15" hidden="1" customHeight="1" x14ac:dyDescent="0.2"/>
    <row r="23" spans="2:12" ht="15" hidden="1" customHeight="1" x14ac:dyDescent="0.25">
      <c r="C23" s="652"/>
    </row>
    <row r="24" spans="2:12" ht="15" hidden="1" customHeight="1" x14ac:dyDescent="0.2"/>
    <row r="25" spans="2:12" ht="15" hidden="1" customHeight="1" x14ac:dyDescent="0.2"/>
    <row r="26" spans="2:12" ht="15" hidden="1" customHeight="1" x14ac:dyDescent="0.2"/>
  </sheetData>
  <sheetProtection algorithmName="SHA-512" hashValue="D3LHo2/ZMNQPJ7kWN7LZFsCNjSYtjX3ELg9WVuq08XxOEH8HUrDy8s1zMBA4W4zqnEpQJ7fN4TNngmIWXuEuIQ==" saltValue="1iTgkXq6Y8xsBCohOqPx9g==" spinCount="100000" sheet="1" objects="1" scenarios="1" selectLockedCells="1"/>
  <mergeCells count="1">
    <mergeCell ref="C6:N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9" fitToHeight="0" orientation="portrait" horizontalDpi="300" verticalDpi="30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7">
    <pageSetUpPr fitToPage="1"/>
  </sheetPr>
  <dimension ref="A1:AJ8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36" s="429" customFormat="1" ht="24.95" customHeight="1" x14ac:dyDescent="0.3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28"/>
      <c r="R1" s="428"/>
      <c r="S1" s="428"/>
      <c r="T1" s="428"/>
      <c r="U1" s="428"/>
      <c r="V1" s="428"/>
      <c r="W1" s="428"/>
      <c r="X1" s="428"/>
      <c r="Y1" s="428"/>
      <c r="AG1" s="266"/>
      <c r="AH1" s="266"/>
      <c r="AI1" s="266"/>
    </row>
    <row r="2" spans="1:3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324"/>
      <c r="R2" s="324"/>
      <c r="S2" s="324"/>
      <c r="T2" s="324"/>
      <c r="U2" s="324"/>
      <c r="V2" s="324"/>
      <c r="W2" s="324"/>
      <c r="X2" s="33"/>
      <c r="Y2" s="324"/>
    </row>
    <row r="3" spans="1:3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3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7"/>
      <c r="R4" s="27"/>
      <c r="S4" s="27"/>
      <c r="T4" s="27"/>
      <c r="U4" s="27"/>
      <c r="V4" s="27"/>
      <c r="W4" s="27"/>
      <c r="X4" s="640"/>
      <c r="Y4" s="27"/>
      <c r="Z4" s="27"/>
      <c r="AA4" s="27"/>
      <c r="AB4" s="27"/>
    </row>
    <row r="5" spans="1:3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V5" s="27"/>
      <c r="W5" s="27"/>
      <c r="X5" s="27"/>
      <c r="Y5" s="27"/>
      <c r="Z5" s="27"/>
      <c r="AA5" s="27"/>
      <c r="AB5" s="27"/>
    </row>
    <row r="6" spans="1:36" s="164" customFormat="1" ht="24.95" customHeight="1" x14ac:dyDescent="0.25">
      <c r="A6" s="266"/>
      <c r="B6" s="266"/>
      <c r="C6" s="266"/>
      <c r="D6" s="699" t="s">
        <v>1962</v>
      </c>
      <c r="E6" s="699"/>
      <c r="F6" s="699"/>
      <c r="G6" s="699"/>
      <c r="H6" s="699"/>
      <c r="I6" s="699"/>
      <c r="J6" s="699"/>
      <c r="K6" s="699"/>
      <c r="L6" s="699"/>
      <c r="M6" s="699"/>
      <c r="N6" s="266"/>
      <c r="O6" s="266"/>
      <c r="P6" s="266"/>
      <c r="Q6" s="311"/>
      <c r="R6" s="311"/>
      <c r="S6" s="311"/>
      <c r="T6" s="311"/>
      <c r="U6" s="311"/>
      <c r="V6" s="311"/>
      <c r="W6" s="311"/>
      <c r="X6" s="311"/>
      <c r="Y6" s="311"/>
      <c r="Z6" s="640"/>
      <c r="AA6" s="311"/>
      <c r="AB6" s="311"/>
    </row>
    <row r="7" spans="1:36" s="164" customFormat="1" ht="15" customHeight="1" x14ac:dyDescent="0.25">
      <c r="A7" s="266"/>
      <c r="B7" s="266"/>
      <c r="C7" s="266"/>
      <c r="D7" s="266"/>
      <c r="E7" s="266"/>
      <c r="F7" s="266"/>
      <c r="G7" s="235"/>
      <c r="H7" s="235"/>
      <c r="I7" s="235"/>
      <c r="J7" s="235"/>
      <c r="K7" s="235"/>
      <c r="L7" s="235"/>
      <c r="M7" s="266"/>
      <c r="N7" s="266"/>
      <c r="O7" s="266"/>
      <c r="P7" s="266"/>
      <c r="Q7" s="311"/>
      <c r="R7" s="311"/>
      <c r="S7" s="311"/>
      <c r="T7" s="311"/>
      <c r="U7" s="311"/>
      <c r="V7" s="311"/>
      <c r="W7" s="311"/>
      <c r="X7" s="311"/>
      <c r="Y7" s="311"/>
      <c r="Z7" s="641"/>
      <c r="AA7" s="311"/>
      <c r="AB7" s="311"/>
    </row>
    <row r="8" spans="1:36" s="164" customFormat="1" ht="15" customHeight="1" x14ac:dyDescent="0.25">
      <c r="A8" s="266"/>
      <c r="B8" s="266"/>
      <c r="C8" s="266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N8" s="266"/>
      <c r="O8" s="266"/>
      <c r="P8" s="266"/>
      <c r="Q8" s="311"/>
      <c r="R8" s="311"/>
      <c r="S8" s="311"/>
      <c r="T8" s="311"/>
      <c r="U8" s="311"/>
      <c r="V8" s="311"/>
      <c r="W8" s="311"/>
      <c r="X8" s="311"/>
      <c r="Y8" s="311"/>
      <c r="Z8" s="641"/>
      <c r="AA8" s="311"/>
      <c r="AB8" s="311"/>
    </row>
    <row r="9" spans="1:36" ht="15" customHeight="1" x14ac:dyDescent="0.2">
      <c r="V9" s="27"/>
      <c r="W9" s="27"/>
      <c r="X9" s="27"/>
      <c r="Y9" s="27"/>
      <c r="Z9" s="27"/>
      <c r="AA9" s="27"/>
      <c r="AB9" s="27"/>
      <c r="AI9" s="208"/>
      <c r="AJ9" s="283"/>
    </row>
    <row r="10" spans="1:36" ht="15" customHeight="1" x14ac:dyDescent="0.2"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V10" s="27"/>
      <c r="W10" s="27"/>
      <c r="X10" s="27"/>
      <c r="Y10" s="27"/>
      <c r="Z10" s="27"/>
      <c r="AA10" s="27"/>
      <c r="AB10" s="27"/>
      <c r="AI10" s="208"/>
      <c r="AJ10" s="283"/>
    </row>
    <row r="11" spans="1:36" ht="15" customHeight="1" x14ac:dyDescent="0.2">
      <c r="C11" s="49"/>
      <c r="D11" s="292" t="s">
        <v>792</v>
      </c>
      <c r="E11" s="292"/>
      <c r="F11" s="49"/>
      <c r="G11" s="9">
        <v>3</v>
      </c>
      <c r="H11" s="298" t="s">
        <v>2070</v>
      </c>
      <c r="I11" s="9">
        <v>1</v>
      </c>
      <c r="J11" s="292" t="s">
        <v>2069</v>
      </c>
      <c r="K11" s="527">
        <f>(10000/(G11*I11))</f>
        <v>3333.3333333333335</v>
      </c>
      <c r="L11" s="49" t="s">
        <v>353</v>
      </c>
      <c r="M11" s="49"/>
      <c r="N11" s="49"/>
      <c r="V11" s="27"/>
      <c r="W11" s="27"/>
      <c r="X11" s="27"/>
      <c r="Y11" s="27"/>
      <c r="Z11" s="780"/>
      <c r="AA11" s="780"/>
      <c r="AB11" s="27"/>
    </row>
    <row r="12" spans="1:36" ht="15" customHeight="1" x14ac:dyDescent="0.2">
      <c r="C12" s="49"/>
      <c r="D12" s="292" t="s">
        <v>1965</v>
      </c>
      <c r="E12" s="292"/>
      <c r="F12" s="49"/>
      <c r="G12" s="9">
        <v>30</v>
      </c>
      <c r="H12" s="273" t="s">
        <v>434</v>
      </c>
      <c r="J12" s="49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63">
        <f>IF(G17&lt;=10,G17,10)</f>
        <v>4.5</v>
      </c>
      <c r="X12" s="27" t="s">
        <v>110</v>
      </c>
      <c r="Y12" s="27"/>
      <c r="Z12" s="27"/>
      <c r="AA12" s="27"/>
      <c r="AB12" s="27"/>
    </row>
    <row r="13" spans="1:36" ht="15" customHeight="1" x14ac:dyDescent="0.2">
      <c r="C13" s="49"/>
      <c r="D13" s="49" t="s">
        <v>566</v>
      </c>
      <c r="E13" s="273"/>
      <c r="F13" s="273"/>
      <c r="G13" s="11">
        <v>10000</v>
      </c>
      <c r="H13" s="273" t="s">
        <v>1972</v>
      </c>
      <c r="J13" s="256" t="s">
        <v>1969</v>
      </c>
      <c r="K13" s="563">
        <f>G13/K11</f>
        <v>3</v>
      </c>
      <c r="L13" s="572" t="s">
        <v>1970</v>
      </c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63"/>
      <c r="X13" s="27"/>
      <c r="Y13" s="27"/>
      <c r="Z13" s="27"/>
      <c r="AA13" s="27"/>
      <c r="AB13" s="27"/>
    </row>
    <row r="14" spans="1:36" s="27" customFormat="1" ht="15" customHeight="1" x14ac:dyDescent="0.2">
      <c r="C14" s="26"/>
      <c r="D14" s="292"/>
      <c r="E14" s="292"/>
      <c r="F14" s="26"/>
      <c r="G14" s="171"/>
      <c r="H14" s="26"/>
      <c r="I14" s="273"/>
      <c r="J14" s="26"/>
      <c r="K14" s="26"/>
      <c r="L14" s="26"/>
      <c r="M14" s="26"/>
      <c r="N14" s="26"/>
      <c r="W14" s="263"/>
    </row>
    <row r="15" spans="1:36" ht="15" customHeight="1" x14ac:dyDescent="0.2">
      <c r="C15" s="49"/>
      <c r="D15" s="281" t="s">
        <v>1703</v>
      </c>
      <c r="E15" s="292"/>
      <c r="F15" s="49"/>
      <c r="G15" s="9">
        <v>7.1</v>
      </c>
      <c r="H15" s="356" t="s">
        <v>1953</v>
      </c>
      <c r="I15" s="273"/>
      <c r="K15" s="171"/>
      <c r="L15" s="171"/>
      <c r="M15" s="171"/>
      <c r="N15" s="49"/>
      <c r="V15" s="27"/>
      <c r="W15" s="279">
        <f>226.417+2.465*G12-(10*W12)</f>
        <v>255.36699999999996</v>
      </c>
      <c r="X15" s="283" t="s">
        <v>343</v>
      </c>
      <c r="Y15" s="283"/>
      <c r="Z15" s="27"/>
      <c r="AA15" s="27"/>
      <c r="AB15" s="27"/>
    </row>
    <row r="16" spans="1:36" ht="15" customHeight="1" x14ac:dyDescent="0.2">
      <c r="C16" s="49"/>
      <c r="D16" s="292"/>
      <c r="E16" s="292"/>
      <c r="F16" s="49"/>
      <c r="G16" s="9">
        <v>298</v>
      </c>
      <c r="H16" s="356" t="s">
        <v>1933</v>
      </c>
      <c r="I16" s="273"/>
      <c r="K16" s="171"/>
      <c r="L16" s="171"/>
      <c r="M16" s="171"/>
      <c r="N16" s="49"/>
      <c r="V16" s="27"/>
      <c r="W16" s="279">
        <f xml:space="preserve"> IF(W15&gt;0,W15,0)</f>
        <v>255.36699999999996</v>
      </c>
      <c r="X16" s="283" t="s">
        <v>111</v>
      </c>
      <c r="Y16" s="283"/>
      <c r="Z16" s="27"/>
      <c r="AA16" s="27"/>
      <c r="AB16" s="208"/>
    </row>
    <row r="17" spans="3:34" ht="15" customHeight="1" x14ac:dyDescent="0.2">
      <c r="C17" s="49"/>
      <c r="D17" s="292"/>
      <c r="E17" s="292"/>
      <c r="F17" s="49"/>
      <c r="G17" s="9">
        <v>4.5</v>
      </c>
      <c r="H17" s="292" t="s">
        <v>1963</v>
      </c>
      <c r="I17" s="273"/>
      <c r="K17" s="49"/>
      <c r="L17" s="49"/>
      <c r="M17" s="49"/>
      <c r="N17" s="49"/>
      <c r="V17" s="27"/>
      <c r="W17" s="27"/>
      <c r="X17" s="27"/>
      <c r="Y17" s="27"/>
      <c r="Z17" s="27"/>
      <c r="AA17" s="27"/>
      <c r="AB17" s="27"/>
      <c r="AC17" s="208"/>
      <c r="AD17" s="642"/>
    </row>
    <row r="18" spans="3:34" ht="15" customHeight="1" x14ac:dyDescent="0.3">
      <c r="C18" s="49"/>
      <c r="E18" s="292"/>
      <c r="F18" s="49"/>
      <c r="G18" s="9">
        <v>20</v>
      </c>
      <c r="H18" s="292" t="s">
        <v>1966</v>
      </c>
      <c r="I18" s="273"/>
      <c r="K18" s="49"/>
      <c r="L18" s="49"/>
      <c r="M18" s="49"/>
      <c r="N18" s="49"/>
      <c r="V18" s="27"/>
      <c r="W18" s="279">
        <f>(189+0.537*G12-8.26*G15-2.1*G18)-2*W12</f>
        <v>95.464000000000027</v>
      </c>
      <c r="X18" s="275" t="s">
        <v>721</v>
      </c>
      <c r="Y18" s="275"/>
      <c r="Z18" s="27"/>
      <c r="AA18" s="27"/>
      <c r="AB18" s="27"/>
    </row>
    <row r="19" spans="3:34" ht="15" customHeight="1" x14ac:dyDescent="0.3">
      <c r="C19" s="49"/>
      <c r="D19" s="273"/>
      <c r="E19" s="273"/>
      <c r="F19" s="273"/>
      <c r="G19" s="9">
        <v>63</v>
      </c>
      <c r="H19" s="356" t="s">
        <v>1929</v>
      </c>
      <c r="I19" s="49"/>
      <c r="K19" s="170"/>
      <c r="L19" s="49"/>
      <c r="M19" s="49"/>
      <c r="N19" s="49"/>
      <c r="V19" s="27"/>
      <c r="W19" s="279">
        <f>IF(W18&gt;0,W18,0)</f>
        <v>95.464000000000027</v>
      </c>
      <c r="X19" s="275" t="s">
        <v>112</v>
      </c>
      <c r="Y19" s="275"/>
      <c r="Z19" s="27"/>
      <c r="AA19" s="27"/>
      <c r="AB19" s="283"/>
    </row>
    <row r="20" spans="3:34" ht="15" customHeight="1" x14ac:dyDescent="0.2">
      <c r="C20" s="49"/>
      <c r="D20" s="273"/>
      <c r="E20" s="273"/>
      <c r="F20" s="273"/>
      <c r="G20" s="9">
        <v>7.9</v>
      </c>
      <c r="H20" s="356" t="s">
        <v>1934</v>
      </c>
      <c r="I20" s="49"/>
      <c r="K20" s="170"/>
      <c r="L20" s="49"/>
      <c r="M20" s="49"/>
      <c r="N20" s="49"/>
      <c r="V20" s="27"/>
      <c r="W20" s="27"/>
      <c r="X20" s="27"/>
      <c r="Y20" s="27"/>
      <c r="Z20" s="27"/>
      <c r="AA20" s="27"/>
      <c r="AB20" s="283"/>
    </row>
    <row r="21" spans="3:34" ht="15" customHeight="1" x14ac:dyDescent="0.2">
      <c r="C21" s="49"/>
      <c r="D21" s="273"/>
      <c r="E21" s="273"/>
      <c r="F21" s="273"/>
      <c r="G21" s="171"/>
      <c r="H21" s="49"/>
      <c r="I21" s="49"/>
      <c r="J21" s="356"/>
      <c r="K21" s="170"/>
      <c r="L21" s="49"/>
      <c r="M21" s="49"/>
      <c r="N21" s="49"/>
      <c r="V21" s="27"/>
      <c r="W21" s="27"/>
      <c r="X21" s="27"/>
      <c r="Y21" s="27"/>
      <c r="Z21" s="27"/>
      <c r="AA21" s="27"/>
      <c r="AB21" s="283"/>
    </row>
    <row r="22" spans="3:34" ht="15" customHeight="1" x14ac:dyDescent="0.3">
      <c r="C22" s="49"/>
      <c r="D22" s="273" t="s">
        <v>340</v>
      </c>
      <c r="E22" s="273"/>
      <c r="F22" s="273"/>
      <c r="G22" s="9">
        <v>90</v>
      </c>
      <c r="H22" s="356" t="s">
        <v>341</v>
      </c>
      <c r="I22" s="49"/>
      <c r="J22" s="290"/>
      <c r="K22" s="170"/>
      <c r="L22" s="49"/>
      <c r="M22" s="49"/>
      <c r="N22" s="49"/>
      <c r="V22" s="27"/>
      <c r="W22" s="279">
        <f>(236.47+2.381*G12-1.21*G16)-(W12*3)</f>
        <v>-66.180000000000007</v>
      </c>
      <c r="X22" s="275" t="s">
        <v>13</v>
      </c>
      <c r="Y22" s="275"/>
      <c r="Z22" s="27"/>
      <c r="AA22" s="27"/>
      <c r="AB22" s="283"/>
    </row>
    <row r="23" spans="3:34" ht="15" customHeight="1" x14ac:dyDescent="0.3">
      <c r="C23" s="49"/>
      <c r="J23" s="273"/>
      <c r="K23" s="49"/>
      <c r="L23" s="49"/>
      <c r="M23" s="49"/>
      <c r="N23" s="49"/>
      <c r="V23" s="27"/>
      <c r="W23" s="218">
        <f>IF(W22&gt;0,W22,0)</f>
        <v>0</v>
      </c>
      <c r="X23" s="275" t="s">
        <v>113</v>
      </c>
      <c r="Y23" s="275"/>
      <c r="Z23" s="27"/>
      <c r="AA23" s="27"/>
      <c r="AB23" s="283"/>
    </row>
    <row r="24" spans="3:34" ht="15" customHeight="1" x14ac:dyDescent="0.25">
      <c r="C24" s="49"/>
      <c r="D24" s="291" t="s">
        <v>371</v>
      </c>
      <c r="E24" s="49"/>
      <c r="F24" s="49"/>
      <c r="G24" s="49"/>
      <c r="H24" s="49"/>
      <c r="I24" s="49"/>
      <c r="J24" s="273"/>
      <c r="K24" s="170"/>
      <c r="L24" s="49"/>
      <c r="M24" s="49"/>
      <c r="N24" s="49"/>
      <c r="V24" s="27"/>
      <c r="W24" s="27"/>
      <c r="X24" s="27"/>
      <c r="Y24" s="27"/>
      <c r="Z24" s="27"/>
      <c r="AA24" s="27"/>
      <c r="AB24" s="283"/>
    </row>
    <row r="25" spans="3:34" ht="15" customHeight="1" x14ac:dyDescent="0.2">
      <c r="C25" s="49"/>
      <c r="E25" s="277" t="s">
        <v>573</v>
      </c>
      <c r="H25" s="220">
        <f>IF(W26&gt;0,W26,0)</f>
        <v>0</v>
      </c>
      <c r="I25" s="273" t="s">
        <v>1967</v>
      </c>
      <c r="J25" s="49"/>
      <c r="K25" s="273"/>
      <c r="L25" s="49"/>
      <c r="M25" s="49"/>
      <c r="N25" s="49"/>
      <c r="V25" s="27"/>
      <c r="W25" s="279" t="s">
        <v>25</v>
      </c>
      <c r="X25" s="27"/>
      <c r="Y25" s="27"/>
      <c r="Z25" s="27"/>
      <c r="AA25" s="208"/>
      <c r="AB25" s="283"/>
    </row>
    <row r="26" spans="3:34" ht="15" customHeight="1" x14ac:dyDescent="0.2">
      <c r="C26" s="49"/>
      <c r="E26" s="49"/>
      <c r="F26" s="49"/>
      <c r="G26" s="292"/>
      <c r="H26" s="171"/>
      <c r="I26" s="465"/>
      <c r="J26" s="171"/>
      <c r="K26" s="273"/>
      <c r="L26" s="49"/>
      <c r="M26" s="49"/>
      <c r="N26" s="49"/>
      <c r="V26" s="27"/>
      <c r="W26" s="497">
        <f xml:space="preserve"> G20*(60-G19)/G22</f>
        <v>-0.26333333333333336</v>
      </c>
      <c r="X26" s="27" t="s">
        <v>349</v>
      </c>
      <c r="Y26" s="27"/>
      <c r="Z26" s="27"/>
      <c r="AA26" s="27"/>
      <c r="AB26" s="283"/>
    </row>
    <row r="27" spans="3:34" ht="15" customHeight="1" x14ac:dyDescent="0.2">
      <c r="C27" s="49"/>
      <c r="E27" s="169" t="s">
        <v>568</v>
      </c>
      <c r="F27" s="169"/>
      <c r="G27" s="49"/>
      <c r="H27" s="224">
        <f>W16</f>
        <v>255.36699999999996</v>
      </c>
      <c r="I27" s="273" t="s">
        <v>569</v>
      </c>
      <c r="J27" s="325"/>
      <c r="K27" s="49"/>
      <c r="L27" s="49"/>
      <c r="M27" s="325"/>
      <c r="N27" s="49"/>
      <c r="V27" s="27"/>
      <c r="W27" s="289"/>
      <c r="X27" s="27"/>
      <c r="Y27" s="27"/>
      <c r="Z27" s="27"/>
      <c r="AA27" s="27"/>
      <c r="AB27" s="27"/>
    </row>
    <row r="28" spans="3:34" ht="15" customHeight="1" x14ac:dyDescent="0.2">
      <c r="C28" s="49"/>
      <c r="E28" s="49"/>
      <c r="F28" s="49"/>
      <c r="G28" s="49"/>
      <c r="H28" s="224">
        <f>W19</f>
        <v>95.464000000000027</v>
      </c>
      <c r="I28" s="273" t="s">
        <v>1923</v>
      </c>
      <c r="J28" s="325"/>
      <c r="K28" s="49"/>
      <c r="L28" s="49"/>
      <c r="M28" s="325"/>
      <c r="N28" s="171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G28" s="208"/>
      <c r="AH28" s="283"/>
    </row>
    <row r="29" spans="3:34" ht="15" customHeight="1" x14ac:dyDescent="0.2">
      <c r="C29" s="49"/>
      <c r="E29" s="49"/>
      <c r="F29" s="49"/>
      <c r="G29" s="49"/>
      <c r="H29" s="224">
        <f>W23</f>
        <v>0</v>
      </c>
      <c r="I29" s="273" t="s">
        <v>1924</v>
      </c>
      <c r="J29" s="325"/>
      <c r="K29" s="49"/>
      <c r="L29" s="49"/>
      <c r="M29" s="325"/>
      <c r="N29" s="171"/>
      <c r="O29" s="208"/>
      <c r="P29" s="208"/>
      <c r="Q29" s="208"/>
      <c r="R29" s="208"/>
      <c r="S29" s="208"/>
      <c r="T29" s="208"/>
      <c r="U29" s="208"/>
      <c r="V29" s="208"/>
      <c r="W29" s="208">
        <v>20</v>
      </c>
      <c r="X29" s="279">
        <f>ROUND((H28*100)/W31,0)</f>
        <v>7</v>
      </c>
      <c r="Y29" s="279">
        <f>(H29*100)/W31</f>
        <v>0</v>
      </c>
      <c r="Z29" s="208"/>
      <c r="AA29" s="208"/>
      <c r="AB29" s="208"/>
      <c r="AG29" s="208"/>
      <c r="AH29" s="283"/>
    </row>
    <row r="30" spans="3:34" ht="15" customHeight="1" x14ac:dyDescent="0.2">
      <c r="C30" s="49"/>
      <c r="E30" s="49"/>
      <c r="F30" s="49"/>
      <c r="G30" s="292"/>
      <c r="H30" s="171"/>
      <c r="I30" s="171"/>
      <c r="J30" s="171"/>
      <c r="K30" s="273"/>
      <c r="L30" s="49"/>
      <c r="M30" s="49"/>
      <c r="N30" s="171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G30" s="208"/>
      <c r="AH30" s="283"/>
    </row>
    <row r="31" spans="3:34" ht="15" customHeight="1" x14ac:dyDescent="0.2">
      <c r="C31" s="49"/>
      <c r="E31" s="277" t="s">
        <v>1660</v>
      </c>
      <c r="F31" s="277"/>
      <c r="G31" s="49"/>
      <c r="H31" s="49"/>
      <c r="I31" s="49"/>
      <c r="J31" s="49"/>
      <c r="L31" s="49"/>
      <c r="M31" s="49"/>
      <c r="N31" s="49"/>
      <c r="V31" s="27"/>
      <c r="W31" s="27">
        <f>(H27*100)/W29</f>
        <v>1276.8349999999998</v>
      </c>
      <c r="X31" s="27" t="s">
        <v>791</v>
      </c>
      <c r="Y31" s="27"/>
      <c r="Z31" s="27"/>
      <c r="AA31" s="27"/>
      <c r="AB31" s="550"/>
    </row>
    <row r="32" spans="3:34" ht="15" customHeight="1" x14ac:dyDescent="0.2">
      <c r="C32" s="49"/>
      <c r="E32" s="49" t="s">
        <v>1968</v>
      </c>
      <c r="G32" s="49"/>
      <c r="H32" s="9">
        <v>3</v>
      </c>
      <c r="I32" s="49"/>
      <c r="J32" s="26"/>
      <c r="K32" s="26"/>
      <c r="L32" s="49"/>
      <c r="M32" s="49"/>
      <c r="N32" s="49"/>
      <c r="V32" s="27"/>
      <c r="W32" s="27"/>
      <c r="X32" s="27"/>
      <c r="Y32" s="27"/>
      <c r="Z32" s="27"/>
      <c r="AA32" s="27"/>
      <c r="AB32" s="27"/>
    </row>
    <row r="33" spans="3:28" s="313" customFormat="1" ht="15" customHeight="1" x14ac:dyDescent="0.2">
      <c r="C33" s="170"/>
      <c r="E33" s="169"/>
      <c r="F33" s="257"/>
      <c r="G33" s="256"/>
      <c r="H33" s="170"/>
      <c r="I33" s="49"/>
      <c r="J33" s="49"/>
      <c r="K33" s="170"/>
      <c r="L33" s="170"/>
      <c r="M33" s="170"/>
      <c r="N33" s="170"/>
      <c r="V33" s="314"/>
      <c r="W33" s="314"/>
      <c r="X33" s="314"/>
      <c r="Y33" s="314"/>
      <c r="Z33" s="314"/>
      <c r="AA33" s="314"/>
      <c r="AB33" s="314"/>
    </row>
    <row r="34" spans="3:28" s="305" customFormat="1" ht="15" customHeight="1" x14ac:dyDescent="0.2">
      <c r="C34" s="170"/>
      <c r="E34" s="643" t="s">
        <v>31</v>
      </c>
      <c r="F34" s="257">
        <v>1</v>
      </c>
      <c r="G34" s="170" t="str">
        <f>"Aplicação de "&amp;W34&amp;" g/planta de Superfosfato Simples."</f>
        <v>Aplicação de 143 g/planta de Superfosfato Simples.</v>
      </c>
      <c r="I34" s="298"/>
      <c r="J34" s="298"/>
      <c r="K34" s="298"/>
      <c r="L34" s="298"/>
      <c r="M34" s="170"/>
      <c r="N34" s="170"/>
      <c r="V34" s="275"/>
      <c r="W34" s="325">
        <f>ROUND(((H28*5)/K11)*1000,0)</f>
        <v>143</v>
      </c>
      <c r="X34" s="273"/>
      <c r="Y34" s="273"/>
      <c r="Z34" s="273"/>
      <c r="AA34" s="273"/>
      <c r="AB34" s="273"/>
    </row>
    <row r="35" spans="3:28" s="305" customFormat="1" ht="15" customHeight="1" x14ac:dyDescent="0.2">
      <c r="C35" s="170"/>
      <c r="E35" s="170"/>
      <c r="F35" s="257">
        <f>H32</f>
        <v>3</v>
      </c>
      <c r="G35" s="170" t="str">
        <f>"Aplicações de "&amp;W35&amp;" g/planta de 20 - 0 - "&amp;AA35&amp;"."</f>
        <v>Aplicações de 128 g/planta de 20 - 0 - 0.</v>
      </c>
      <c r="I35" s="49"/>
      <c r="J35" s="49"/>
      <c r="M35" s="170"/>
      <c r="N35" s="170"/>
      <c r="V35" s="275"/>
      <c r="W35" s="325">
        <f>ROUND((((W16*5)/K11)*1000)/H32,0)</f>
        <v>128</v>
      </c>
      <c r="X35" s="273"/>
      <c r="Y35" s="171">
        <f>W29</f>
        <v>20</v>
      </c>
      <c r="Z35" s="171">
        <v>0</v>
      </c>
      <c r="AA35" s="325">
        <f>Y29</f>
        <v>0</v>
      </c>
      <c r="AB35" s="273"/>
    </row>
    <row r="36" spans="3:28" s="305" customFormat="1" ht="15" customHeight="1" x14ac:dyDescent="0.2">
      <c r="C36" s="170"/>
      <c r="E36" s="170"/>
      <c r="F36" s="257"/>
      <c r="G36" s="256"/>
      <c r="H36" s="224"/>
      <c r="I36" s="49"/>
      <c r="J36" s="49"/>
      <c r="K36" s="222"/>
      <c r="L36" s="257"/>
      <c r="M36" s="170"/>
      <c r="N36" s="170"/>
      <c r="V36" s="275"/>
      <c r="W36" s="273"/>
      <c r="X36" s="273"/>
      <c r="Y36" s="273"/>
      <c r="Z36" s="273"/>
      <c r="AA36" s="273"/>
      <c r="AB36" s="273"/>
    </row>
    <row r="37" spans="3:28" s="305" customFormat="1" ht="15" customHeight="1" x14ac:dyDescent="0.2">
      <c r="C37" s="170"/>
      <c r="E37" s="643" t="s">
        <v>32</v>
      </c>
      <c r="F37" s="257">
        <f>H32</f>
        <v>3</v>
      </c>
      <c r="G37" s="170" t="str">
        <f>"Aplicações de "&amp;W35&amp;" g/planta de "&amp;W29&amp;" - "&amp;X29&amp;" - "&amp;Y29&amp;"."</f>
        <v>Aplicações de 128 g/planta de 20 - 7 - 0.</v>
      </c>
      <c r="H37" s="224"/>
      <c r="I37" s="49"/>
      <c r="J37" s="49"/>
      <c r="M37" s="170"/>
      <c r="N37" s="170"/>
      <c r="V37" s="275"/>
      <c r="W37" s="273"/>
      <c r="X37" s="273"/>
      <c r="Y37" s="171"/>
      <c r="Z37" s="325"/>
      <c r="AA37" s="325"/>
      <c r="AB37" s="273"/>
    </row>
    <row r="38" spans="3:28" s="305" customFormat="1" ht="15" customHeight="1" x14ac:dyDescent="0.2">
      <c r="C38" s="170"/>
      <c r="E38" s="644"/>
      <c r="F38" s="257"/>
      <c r="G38" s="256"/>
      <c r="H38" s="224"/>
      <c r="I38" s="49"/>
      <c r="J38" s="49"/>
      <c r="K38" s="222"/>
      <c r="L38" s="224"/>
      <c r="M38" s="170"/>
      <c r="N38" s="170"/>
      <c r="V38" s="275"/>
      <c r="W38" s="275"/>
      <c r="X38" s="275"/>
      <c r="Y38" s="275"/>
      <c r="Z38" s="275"/>
      <c r="AA38" s="275"/>
      <c r="AB38" s="275"/>
    </row>
    <row r="39" spans="3:28" s="305" customFormat="1" ht="15" customHeight="1" x14ac:dyDescent="0.2">
      <c r="C39" s="170"/>
      <c r="E39" s="170"/>
      <c r="F39" s="257"/>
      <c r="G39" s="256"/>
      <c r="H39" s="224"/>
      <c r="I39" s="49"/>
      <c r="J39" s="49"/>
      <c r="K39" s="222"/>
      <c r="L39" s="257"/>
      <c r="M39" s="170"/>
      <c r="N39" s="170"/>
      <c r="V39" s="275"/>
      <c r="W39" s="275"/>
      <c r="X39" s="275"/>
      <c r="Y39" s="275"/>
      <c r="Z39" s="275"/>
      <c r="AA39" s="275"/>
      <c r="AB39" s="275"/>
    </row>
    <row r="40" spans="3:28" ht="15" customHeight="1" x14ac:dyDescent="0.2">
      <c r="C40" s="49"/>
      <c r="E40" s="219" t="s">
        <v>1471</v>
      </c>
      <c r="F40" s="219"/>
      <c r="G40" s="49"/>
      <c r="H40" s="49"/>
      <c r="I40" s="49"/>
      <c r="J40" s="49"/>
      <c r="K40" s="49"/>
      <c r="L40" s="171"/>
      <c r="M40" s="171"/>
      <c r="N40" s="171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89"/>
      <c r="AB40" s="27"/>
    </row>
    <row r="41" spans="3:28" s="281" customFormat="1" ht="15" customHeight="1" x14ac:dyDescent="0.2">
      <c r="C41" s="170"/>
      <c r="E41" s="216" t="s">
        <v>585</v>
      </c>
      <c r="F41" s="216"/>
      <c r="G41" s="576"/>
      <c r="H41" s="255" t="s">
        <v>575</v>
      </c>
      <c r="I41" s="576"/>
      <c r="J41" s="216"/>
      <c r="K41" s="255" t="str">
        <f>"Área do talhão: "&amp;K13&amp;" ha"</f>
        <v>Área do talhão: 3 ha</v>
      </c>
      <c r="L41" s="470"/>
      <c r="M41" s="26"/>
      <c r="N41" s="273"/>
      <c r="O41" s="283"/>
      <c r="P41" s="283"/>
      <c r="Q41" s="283"/>
      <c r="R41" s="283"/>
      <c r="S41" s="283"/>
      <c r="T41" s="283"/>
      <c r="U41" s="283"/>
      <c r="V41" s="283"/>
      <c r="W41" s="283" t="s">
        <v>585</v>
      </c>
      <c r="X41" s="283"/>
      <c r="Y41" s="283"/>
      <c r="Z41" s="263"/>
      <c r="AA41" s="283"/>
      <c r="AB41" s="283"/>
    </row>
    <row r="42" spans="3:28" s="281" customFormat="1" ht="15" customHeight="1" x14ac:dyDescent="0.2">
      <c r="C42" s="170"/>
      <c r="E42" s="26" t="s">
        <v>394</v>
      </c>
      <c r="F42" s="26"/>
      <c r="G42" s="26"/>
      <c r="H42" s="325">
        <f>(((H37*K11)/1000)/50)*H32</f>
        <v>0</v>
      </c>
      <c r="I42" s="171"/>
      <c r="K42" s="645">
        <f>H42*K13</f>
        <v>0</v>
      </c>
      <c r="L42" s="645"/>
      <c r="M42" s="171"/>
      <c r="N42" s="273"/>
      <c r="O42" s="283"/>
      <c r="P42" s="283"/>
      <c r="Q42" s="283"/>
      <c r="R42" s="283"/>
      <c r="S42" s="283"/>
      <c r="T42" s="283"/>
      <c r="U42" s="283"/>
      <c r="V42" s="283"/>
      <c r="W42" s="218">
        <f>(H28*5)/50</f>
        <v>9.5464000000000038</v>
      </c>
      <c r="X42" s="283" t="s">
        <v>839</v>
      </c>
      <c r="Y42" s="283"/>
      <c r="Z42" s="283"/>
      <c r="AA42" s="283"/>
      <c r="AB42" s="283"/>
    </row>
    <row r="43" spans="3:28" s="281" customFormat="1" ht="15" customHeight="1" x14ac:dyDescent="0.2">
      <c r="C43" s="170"/>
      <c r="E43" s="26" t="s">
        <v>841</v>
      </c>
      <c r="F43" s="26"/>
      <c r="G43" s="26"/>
      <c r="H43" s="325">
        <f>W42</f>
        <v>9.5464000000000038</v>
      </c>
      <c r="I43" s="171"/>
      <c r="K43" s="325">
        <f>H43*K13</f>
        <v>28.63920000000001</v>
      </c>
      <c r="L43" s="325"/>
      <c r="M43" s="171"/>
      <c r="N43" s="27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</row>
    <row r="44" spans="3:28" s="281" customFormat="1" ht="15" customHeight="1" x14ac:dyDescent="0.2">
      <c r="C44" s="170"/>
      <c r="E44" s="26" t="s">
        <v>396</v>
      </c>
      <c r="F44" s="26"/>
      <c r="G44" s="26"/>
      <c r="H44" s="325">
        <f>H25*1000/50</f>
        <v>0</v>
      </c>
      <c r="I44" s="171"/>
      <c r="K44" s="325">
        <f>H44*K13</f>
        <v>0</v>
      </c>
      <c r="L44" s="325"/>
      <c r="M44" s="171"/>
      <c r="N44" s="27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</row>
    <row r="45" spans="3:28" s="281" customFormat="1" ht="15" customHeight="1" x14ac:dyDescent="0.2">
      <c r="C45" s="170"/>
      <c r="E45" s="332" t="s">
        <v>807</v>
      </c>
      <c r="F45" s="332"/>
      <c r="G45" s="332"/>
      <c r="H45" s="351"/>
      <c r="I45" s="258"/>
      <c r="J45" s="646"/>
      <c r="K45" s="647"/>
      <c r="L45" s="647"/>
      <c r="M45" s="171"/>
      <c r="N45" s="27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</row>
    <row r="46" spans="3:28" s="281" customFormat="1" ht="15" customHeight="1" x14ac:dyDescent="0.2">
      <c r="C46" s="170"/>
      <c r="D46" s="26"/>
      <c r="E46" s="26"/>
      <c r="F46" s="26"/>
      <c r="G46" s="325"/>
      <c r="H46" s="171"/>
      <c r="I46" s="171"/>
      <c r="J46" s="325"/>
      <c r="K46" s="171"/>
      <c r="L46" s="171"/>
      <c r="M46" s="171"/>
      <c r="N46" s="27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</row>
    <row r="47" spans="3:28" s="281" customFormat="1" ht="15" customHeight="1" x14ac:dyDescent="0.2">
      <c r="C47" s="170"/>
      <c r="D47" s="277"/>
      <c r="E47" s="277"/>
      <c r="F47" s="273"/>
      <c r="G47" s="170"/>
      <c r="H47" s="170"/>
      <c r="I47" s="170"/>
      <c r="J47" s="170"/>
      <c r="K47" s="170"/>
      <c r="L47" s="170"/>
      <c r="M47" s="170"/>
      <c r="N47" s="170"/>
    </row>
    <row r="48" spans="3:28" s="281" customFormat="1" ht="15" customHeight="1" x14ac:dyDescent="0.2">
      <c r="C48" s="170"/>
      <c r="D48" s="277"/>
      <c r="E48" s="277"/>
      <c r="F48" s="273"/>
      <c r="G48" s="170"/>
      <c r="H48" s="170"/>
      <c r="I48" s="170"/>
      <c r="J48" s="170"/>
      <c r="K48" s="170"/>
      <c r="L48" s="170"/>
      <c r="M48" s="170"/>
      <c r="N48" s="170"/>
    </row>
    <row r="49" spans="2:27" s="281" customFormat="1" ht="15" customHeight="1" x14ac:dyDescent="0.2">
      <c r="C49" s="170"/>
      <c r="D49" s="273"/>
      <c r="E49" s="277"/>
      <c r="F49" s="273"/>
      <c r="G49" s="170"/>
      <c r="H49" s="170"/>
      <c r="I49" s="170"/>
      <c r="J49" s="170"/>
      <c r="K49" s="170"/>
      <c r="L49" s="170"/>
      <c r="M49" s="170"/>
      <c r="N49" s="170"/>
    </row>
    <row r="50" spans="2:27" s="281" customFormat="1" ht="15" customHeight="1" x14ac:dyDescent="0.2">
      <c r="C50" s="170"/>
      <c r="D50" s="273"/>
      <c r="E50" s="277"/>
      <c r="F50" s="273"/>
      <c r="G50" s="170"/>
      <c r="H50" s="170"/>
      <c r="I50" s="170"/>
      <c r="J50" s="170"/>
      <c r="K50" s="170"/>
      <c r="L50" s="170"/>
      <c r="M50" s="170"/>
      <c r="N50" s="170"/>
    </row>
    <row r="51" spans="2:27" s="281" customFormat="1" ht="15" customHeight="1" x14ac:dyDescent="0.2">
      <c r="C51" s="170"/>
      <c r="D51" s="273"/>
      <c r="E51" s="273"/>
      <c r="F51" s="273"/>
      <c r="G51" s="170"/>
      <c r="H51" s="170"/>
      <c r="I51" s="170"/>
      <c r="J51" s="170"/>
      <c r="K51" s="170"/>
      <c r="L51" s="170"/>
      <c r="M51" s="170"/>
      <c r="N51" s="170"/>
    </row>
    <row r="52" spans="2:27" s="60" customFormat="1" ht="15" customHeight="1" x14ac:dyDescent="0.2">
      <c r="C52" s="292"/>
      <c r="D52" s="298"/>
      <c r="E52" s="298"/>
      <c r="F52" s="292"/>
      <c r="G52" s="292"/>
      <c r="H52" s="292"/>
      <c r="I52" s="292"/>
      <c r="J52" s="292"/>
      <c r="K52" s="292"/>
      <c r="L52" s="292"/>
      <c r="M52" s="292"/>
      <c r="N52" s="292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</row>
    <row r="53" spans="2:27" s="60" customFormat="1" ht="15" customHeight="1" x14ac:dyDescent="0.2">
      <c r="C53" s="292"/>
      <c r="D53" s="298"/>
      <c r="E53" s="298"/>
      <c r="F53" s="292"/>
      <c r="G53" s="292"/>
      <c r="H53" s="292"/>
      <c r="I53" s="292"/>
      <c r="J53" s="292"/>
      <c r="K53" s="292"/>
      <c r="L53" s="292"/>
      <c r="M53" s="292"/>
      <c r="N53" s="292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</row>
    <row r="54" spans="2:27" s="60" customFormat="1" ht="15" customHeight="1" x14ac:dyDescent="0.2">
      <c r="C54" s="292"/>
      <c r="D54" s="298"/>
      <c r="E54" s="298"/>
      <c r="F54" s="292"/>
      <c r="G54" s="292"/>
      <c r="H54" s="292"/>
      <c r="I54" s="292"/>
      <c r="J54" s="292"/>
      <c r="K54" s="292"/>
      <c r="L54" s="292"/>
      <c r="M54" s="292"/>
      <c r="N54" s="292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</row>
    <row r="55" spans="2:27" s="60" customFormat="1" ht="15" customHeight="1" x14ac:dyDescent="0.2">
      <c r="C55" s="292"/>
      <c r="D55" s="317" t="s">
        <v>891</v>
      </c>
      <c r="E55" s="781"/>
      <c r="F55" s="781"/>
      <c r="G55" s="292"/>
      <c r="H55" s="292" t="s">
        <v>794</v>
      </c>
      <c r="J55" s="292"/>
      <c r="K55" s="298"/>
      <c r="L55" s="298"/>
      <c r="M55" s="298"/>
      <c r="N55" s="292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</row>
    <row r="56" spans="2:27" s="60" customFormat="1" ht="15" customHeight="1" x14ac:dyDescent="0.2">
      <c r="D56" s="267"/>
      <c r="E56" s="267"/>
      <c r="F56" s="267"/>
      <c r="I56" s="714"/>
      <c r="J56" s="714"/>
      <c r="K56" s="714"/>
      <c r="L56" s="714"/>
      <c r="M56" s="265"/>
    </row>
    <row r="57" spans="2:27" s="60" customFormat="1" ht="15" customHeight="1" x14ac:dyDescent="0.2">
      <c r="D57" s="267"/>
      <c r="E57" s="267"/>
      <c r="F57" s="267"/>
      <c r="I57" s="265"/>
      <c r="J57" s="265"/>
      <c r="K57" s="265"/>
      <c r="L57" s="265"/>
      <c r="M57" s="265"/>
    </row>
    <row r="58" spans="2:27" s="60" customFormat="1" ht="15" hidden="1" customHeight="1" x14ac:dyDescent="0.2">
      <c r="D58" s="267"/>
      <c r="E58" s="267"/>
      <c r="F58" s="267"/>
      <c r="I58" s="265"/>
      <c r="J58" s="265"/>
      <c r="K58" s="265"/>
      <c r="L58" s="265"/>
      <c r="M58" s="265"/>
    </row>
    <row r="59" spans="2:27" s="60" customFormat="1" ht="15" hidden="1" customHeight="1" x14ac:dyDescent="0.2">
      <c r="D59" s="267"/>
      <c r="E59" s="267"/>
      <c r="F59" s="267"/>
      <c r="I59" s="265"/>
      <c r="J59" s="265"/>
      <c r="K59" s="265"/>
      <c r="L59" s="265"/>
      <c r="M59" s="265"/>
    </row>
    <row r="60" spans="2:27" s="60" customFormat="1" ht="15" hidden="1" customHeight="1" x14ac:dyDescent="0.2">
      <c r="D60" s="267"/>
      <c r="E60" s="267"/>
      <c r="F60" s="267"/>
      <c r="I60" s="265"/>
      <c r="J60" s="265"/>
      <c r="K60" s="265"/>
      <c r="L60" s="265"/>
      <c r="M60" s="265"/>
    </row>
    <row r="61" spans="2:27" s="60" customFormat="1" ht="15" hidden="1" customHeight="1" x14ac:dyDescent="0.2">
      <c r="D61" s="267"/>
      <c r="E61" s="267"/>
      <c r="F61" s="267"/>
      <c r="I61" s="265"/>
      <c r="J61" s="265"/>
      <c r="K61" s="265"/>
      <c r="L61" s="265"/>
      <c r="M61" s="265"/>
    </row>
    <row r="62" spans="2:27" s="60" customFormat="1" ht="15" hidden="1" customHeight="1" x14ac:dyDescent="0.2">
      <c r="D62" s="267"/>
      <c r="E62" s="267"/>
      <c r="F62" s="267"/>
      <c r="I62" s="265"/>
      <c r="J62" s="265"/>
      <c r="K62" s="265"/>
      <c r="L62" s="265"/>
      <c r="M62" s="265"/>
    </row>
    <row r="63" spans="2:27" s="60" customFormat="1" ht="15" hidden="1" customHeight="1" x14ac:dyDescent="0.2">
      <c r="B63" s="267"/>
      <c r="C63" s="267"/>
      <c r="D63" s="267"/>
      <c r="G63" s="265"/>
      <c r="H63" s="265"/>
      <c r="I63" s="265"/>
      <c r="J63" s="265"/>
      <c r="K63" s="265"/>
    </row>
    <row r="64" spans="2:27" s="60" customFormat="1" ht="15" hidden="1" customHeight="1" x14ac:dyDescent="0.2">
      <c r="B64" s="267"/>
      <c r="C64" s="267"/>
      <c r="D64" s="267"/>
      <c r="G64" s="265"/>
      <c r="H64" s="265"/>
      <c r="I64" s="265"/>
      <c r="J64" s="265"/>
      <c r="K64" s="265"/>
    </row>
    <row r="65" spans="2:11" s="60" customFormat="1" ht="15" hidden="1" customHeight="1" x14ac:dyDescent="0.2">
      <c r="B65" s="267"/>
      <c r="C65" s="267"/>
      <c r="D65" s="267"/>
      <c r="G65" s="265"/>
      <c r="H65" s="265"/>
      <c r="I65" s="265"/>
      <c r="J65" s="265"/>
      <c r="K65" s="265"/>
    </row>
    <row r="66" spans="2:11" s="60" customFormat="1" ht="15" hidden="1" customHeight="1" x14ac:dyDescent="0.2">
      <c r="B66" s="267"/>
      <c r="C66" s="267"/>
      <c r="D66" s="267"/>
      <c r="G66" s="265"/>
      <c r="H66" s="265"/>
      <c r="I66" s="265"/>
      <c r="J66" s="265"/>
      <c r="K66" s="265"/>
    </row>
    <row r="67" spans="2:11" s="60" customFormat="1" ht="15" hidden="1" customHeight="1" x14ac:dyDescent="0.2">
      <c r="B67" s="267"/>
      <c r="C67" s="267"/>
      <c r="D67" s="267"/>
      <c r="G67" s="265"/>
      <c r="H67" s="265"/>
      <c r="I67" s="265"/>
      <c r="J67" s="265"/>
      <c r="K67" s="265"/>
    </row>
    <row r="68" spans="2:11" s="60" customFormat="1" ht="15" hidden="1" customHeight="1" x14ac:dyDescent="0.2">
      <c r="B68" s="267"/>
      <c r="C68" s="267"/>
      <c r="D68" s="267"/>
      <c r="G68" s="265"/>
      <c r="H68" s="265"/>
      <c r="I68" s="265"/>
      <c r="J68" s="265"/>
      <c r="K68" s="265"/>
    </row>
    <row r="69" spans="2:11" s="60" customFormat="1" ht="15" hidden="1" customHeight="1" x14ac:dyDescent="0.2">
      <c r="B69" s="267"/>
      <c r="C69" s="267"/>
      <c r="D69" s="267"/>
      <c r="G69" s="265"/>
      <c r="H69" s="265"/>
      <c r="I69" s="265"/>
      <c r="J69" s="265"/>
      <c r="K69" s="265"/>
    </row>
    <row r="70" spans="2:11" s="60" customFormat="1" ht="15" hidden="1" customHeight="1" x14ac:dyDescent="0.2">
      <c r="B70" s="267"/>
      <c r="C70" s="267"/>
      <c r="D70" s="267"/>
      <c r="G70" s="265"/>
      <c r="H70" s="265"/>
      <c r="I70" s="265"/>
      <c r="J70" s="265"/>
      <c r="K70" s="265"/>
    </row>
    <row r="71" spans="2:11" s="60" customFormat="1" ht="15" hidden="1" customHeight="1" x14ac:dyDescent="0.2">
      <c r="B71" s="267"/>
      <c r="C71" s="267"/>
      <c r="D71" s="267"/>
      <c r="G71" s="265"/>
      <c r="H71" s="265"/>
      <c r="I71" s="265"/>
      <c r="J71" s="265"/>
      <c r="K71" s="265"/>
    </row>
    <row r="72" spans="2:11" s="60" customFormat="1" ht="15" hidden="1" customHeight="1" x14ac:dyDescent="0.2">
      <c r="B72" s="267"/>
      <c r="C72" s="267"/>
      <c r="D72" s="267"/>
      <c r="G72" s="265"/>
      <c r="H72" s="265"/>
      <c r="I72" s="265"/>
      <c r="J72" s="265"/>
      <c r="K72" s="265"/>
    </row>
    <row r="73" spans="2:11" s="60" customFormat="1" ht="15" hidden="1" customHeight="1" x14ac:dyDescent="0.2">
      <c r="B73" s="462"/>
      <c r="C73" s="462"/>
      <c r="D73" s="267"/>
      <c r="E73" s="213"/>
      <c r="H73" s="265"/>
      <c r="I73" s="265"/>
      <c r="J73" s="265"/>
      <c r="K73" s="265"/>
    </row>
    <row r="74" spans="2:11" s="60" customFormat="1" ht="15" hidden="1" customHeight="1" x14ac:dyDescent="0.2">
      <c r="B74" s="267"/>
      <c r="C74" s="267"/>
      <c r="D74" s="267"/>
      <c r="E74" s="294"/>
      <c r="H74" s="265"/>
      <c r="I74" s="265"/>
      <c r="J74" s="265"/>
      <c r="K74" s="265"/>
    </row>
    <row r="75" spans="2:11" s="60" customFormat="1" ht="15" hidden="1" customHeight="1" x14ac:dyDescent="0.2">
      <c r="B75" s="267"/>
      <c r="C75" s="267"/>
      <c r="D75" s="267"/>
      <c r="E75" s="294"/>
      <c r="H75" s="265"/>
      <c r="I75" s="265"/>
      <c r="J75" s="265"/>
      <c r="K75" s="265"/>
    </row>
    <row r="76" spans="2:11" s="60" customFormat="1" ht="15" hidden="1" customHeight="1" x14ac:dyDescent="0.2">
      <c r="B76" s="267"/>
      <c r="C76" s="267"/>
      <c r="D76" s="462"/>
      <c r="E76" s="294"/>
    </row>
    <row r="77" spans="2:11" s="60" customFormat="1" ht="15" hidden="1" customHeight="1" x14ac:dyDescent="0.2">
      <c r="D77" s="266"/>
    </row>
    <row r="78" spans="2:11" s="60" customFormat="1" ht="15" hidden="1" customHeight="1" x14ac:dyDescent="0.2">
      <c r="D78" s="266"/>
    </row>
    <row r="79" spans="2:11" s="60" customFormat="1" ht="15" hidden="1" customHeight="1" x14ac:dyDescent="0.2">
      <c r="B79" s="207"/>
      <c r="C79" s="207"/>
      <c r="D79" s="266"/>
    </row>
    <row r="80" spans="2:11" s="60" customFormat="1" ht="15" hidden="1" customHeight="1" x14ac:dyDescent="0.2">
      <c r="B80" s="267"/>
      <c r="C80" s="267"/>
    </row>
    <row r="81" spans="2:5" s="60" customFormat="1" ht="15" hidden="1" customHeight="1" x14ac:dyDescent="0.2">
      <c r="B81" s="267"/>
      <c r="C81" s="267"/>
      <c r="D81" s="267"/>
      <c r="E81" s="294"/>
    </row>
    <row r="82" spans="2:5" ht="15" hidden="1" customHeight="1" x14ac:dyDescent="0.2">
      <c r="B82" s="267"/>
      <c r="C82" s="267"/>
      <c r="D82" s="267"/>
      <c r="E82" s="294"/>
    </row>
    <row r="83" spans="2:5" ht="15" hidden="1" customHeight="1" x14ac:dyDescent="0.2"/>
    <row r="84" spans="2:5" ht="15" hidden="1" customHeight="1" x14ac:dyDescent="0.2"/>
    <row r="85" spans="2:5" ht="15" hidden="1" customHeight="1" x14ac:dyDescent="0.2"/>
    <row r="86" spans="2:5" ht="15" hidden="1" customHeight="1" x14ac:dyDescent="0.2"/>
    <row r="87" spans="2:5" ht="15" customHeight="1" x14ac:dyDescent="0.2"/>
  </sheetData>
  <sheetProtection algorithmName="SHA-512" hashValue="NQQh1WuX7P+5gLEjTjLByyC4HfE9pJPlqcbK6Oie9MTyg1DUPkguePVc4fq38cL3eDv+S/aKOdyTwtS7sFS4Tw==" saltValue="U3I5Xu1RNRniRXG3sPqPkw==" spinCount="100000" sheet="1" objects="1" scenarios="1" selectLockedCells="1"/>
  <mergeCells count="5">
    <mergeCell ref="D6:M6"/>
    <mergeCell ref="E8:M8"/>
    <mergeCell ref="Z11:AA11"/>
    <mergeCell ref="I56:L56"/>
    <mergeCell ref="E55:F55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fitToHeight="0" orientation="portrait" horizontalDpi="4294967295" verticalDpi="36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P21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16" width="9.140625" style="27" customWidth="1"/>
    <col min="17" max="16384" width="9.140625" style="27" hidden="1"/>
  </cols>
  <sheetData>
    <row r="1" spans="1:16" ht="24.95" customHeight="1" x14ac:dyDescent="0.2"/>
    <row r="2" spans="1:16" ht="24.95" customHeight="1" x14ac:dyDescent="0.2"/>
    <row r="3" spans="1:16" ht="24.95" customHeight="1" x14ac:dyDescent="0.2"/>
    <row r="4" spans="1:16" s="68" customFormat="1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8" t="s">
        <v>1773</v>
      </c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</row>
    <row r="7" spans="1:16" ht="15" customHeight="1" x14ac:dyDescent="0.2">
      <c r="C7" s="69"/>
      <c r="D7" s="69"/>
      <c r="E7" s="69"/>
      <c r="F7" s="69"/>
      <c r="G7" s="69"/>
      <c r="H7" s="75" t="s">
        <v>2061</v>
      </c>
    </row>
    <row r="8" spans="1:16" ht="24.95" customHeight="1" x14ac:dyDescent="0.2">
      <c r="C8" s="69"/>
      <c r="D8" s="69"/>
      <c r="E8" s="69"/>
      <c r="F8" s="69"/>
      <c r="G8" s="69"/>
      <c r="H8" s="69"/>
      <c r="I8" s="69"/>
      <c r="J8" s="69"/>
      <c r="K8" s="69"/>
    </row>
    <row r="9" spans="1:16" ht="24.95" customHeight="1" x14ac:dyDescent="0.2">
      <c r="C9" s="69"/>
      <c r="D9" s="69"/>
      <c r="E9" s="69"/>
      <c r="F9" s="69"/>
      <c r="G9" s="69"/>
      <c r="H9" s="69"/>
      <c r="I9" s="69"/>
      <c r="J9" s="69"/>
      <c r="K9" s="69"/>
    </row>
    <row r="10" spans="1:16" ht="24.95" customHeight="1" x14ac:dyDescent="0.2">
      <c r="C10" s="69"/>
      <c r="D10" s="69"/>
      <c r="E10" s="69"/>
      <c r="F10" s="69"/>
      <c r="G10" s="69"/>
      <c r="H10" s="69"/>
      <c r="I10" s="69"/>
      <c r="J10" s="69"/>
      <c r="K10" s="69"/>
    </row>
    <row r="11" spans="1:16" ht="24.95" customHeight="1" x14ac:dyDescent="0.2">
      <c r="C11" s="69"/>
      <c r="D11" s="69"/>
      <c r="E11" s="69"/>
      <c r="F11" s="69"/>
      <c r="G11" s="69"/>
      <c r="H11" s="69"/>
      <c r="I11" s="69"/>
      <c r="J11" s="69"/>
      <c r="K11" s="69"/>
    </row>
    <row r="12" spans="1:16" ht="24.95" customHeight="1" x14ac:dyDescent="0.2">
      <c r="C12" s="69"/>
      <c r="D12" s="69"/>
      <c r="E12" s="69"/>
      <c r="F12" s="69"/>
      <c r="G12" s="69"/>
      <c r="H12" s="69"/>
      <c r="I12" s="69"/>
      <c r="J12" s="69"/>
      <c r="K12" s="69"/>
    </row>
    <row r="13" spans="1:16" ht="24.95" customHeight="1" x14ac:dyDescent="0.2">
      <c r="D13" s="69"/>
      <c r="E13" s="69"/>
      <c r="K13" s="69"/>
    </row>
    <row r="14" spans="1:16" ht="24.95" customHeight="1" x14ac:dyDescent="0.2">
      <c r="D14" s="69"/>
      <c r="E14" s="69"/>
    </row>
    <row r="15" spans="1:16" ht="24.95" customHeight="1" x14ac:dyDescent="0.2">
      <c r="D15" s="69"/>
      <c r="E15" s="69"/>
    </row>
    <row r="16" spans="1:16" ht="24.95" customHeight="1" x14ac:dyDescent="0.2">
      <c r="D16" s="69"/>
      <c r="E16" s="69"/>
    </row>
    <row r="17" spans="1:5" ht="24.95" customHeight="1" x14ac:dyDescent="0.2">
      <c r="D17" s="69"/>
      <c r="E17" s="69"/>
    </row>
    <row r="18" spans="1:5" ht="24.95" customHeight="1" x14ac:dyDescent="0.2">
      <c r="D18" s="69"/>
      <c r="E18" s="69"/>
    </row>
    <row r="19" spans="1:5" ht="24.95" customHeight="1" x14ac:dyDescent="0.2">
      <c r="C19" s="70"/>
      <c r="D19" s="70"/>
      <c r="E19" s="70"/>
    </row>
    <row r="20" spans="1:5" ht="24.95" customHeight="1" x14ac:dyDescent="0.25">
      <c r="A20" s="71"/>
      <c r="C20" s="64"/>
      <c r="D20" s="64"/>
      <c r="E20" s="64"/>
    </row>
    <row r="21" spans="1:5" ht="15" customHeight="1" x14ac:dyDescent="0.2"/>
  </sheetData>
  <sheetProtection algorithmName="SHA-512" hashValue="gOPp/hjpXrZp+rEKWTNGhwc5r+EmzhqRPMcvwYyzsrF/o9dF3EoszMQw2B9f6zg/pvwPy0ZSREdVEe9+zGFObg==" saltValue="/AEEcEKppKlz2spOYrD2MQ==" spinCount="100000" sheet="1" objects="1" scenarios="1"/>
  <mergeCells count="1">
    <mergeCell ref="C6:N6"/>
  </mergeCells>
  <hyperlinks>
    <hyperlink ref="C15:E15" location="Unidades!A2" display="Transformação de Unidades"/>
    <hyperlink ref="C17:E17" location="'Custo kg nut'!B2" display="Custo/kg de nutriente dos Fertilizantes"/>
    <hyperlink ref="C18:E18" location="'Formulados mais comuns'!B3" display="Formulados mais comuns no comércio"/>
    <hyperlink ref="C14:E14" location="'Teor Foliar'!D3" display="Interpretação Análise Foliar"/>
    <hyperlink ref="C15:E15" location="Unidades!B2" display="Transformação de Unidades"/>
    <hyperlink ref="C16:E16" location="Fertilizantes!I2" display="Fertilizantes"/>
    <hyperlink ref="C14:E14" location="TeorFoliar!A1" display="Interpretação Análise Foliar"/>
    <hyperlink ref="C17:E17" location="CustoNutriente!A1" display="Custo/kg de nutriente dos Fertilizantes"/>
    <hyperlink ref="C18:E18" location="FormuladosComuns!A1" display="Formulados mais comuns no comércio"/>
  </hyperlinks>
  <pageMargins left="0.78740157480314965" right="0.78740157480314965" top="0.78740157480314965" bottom="0.78740157480314965" header="0.51181102362204722" footer="0.51181102362204722"/>
  <pageSetup scale="61" orientation="portrait" horizontalDpi="360" verticalDpi="360" r:id="rId1"/>
  <headerFooter alignWithMargins="0"/>
  <colBreaks count="1" manualBreakCount="1">
    <brk id="16" max="1048575" man="1"/>
  </col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>
    <pageSetUpPr fitToPage="1"/>
  </sheetPr>
  <dimension ref="A1:AD212"/>
  <sheetViews>
    <sheetView showGridLines="0" showRowColHeaders="0" topLeftCell="A4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9.140625" style="266" hidden="1" customWidth="1"/>
    <col min="27" max="30" width="0" style="266" hidden="1" customWidth="1"/>
    <col min="31" max="16384" width="9.140625" style="266" hidden="1"/>
  </cols>
  <sheetData>
    <row r="1" spans="1:30" s="429" customFormat="1" ht="24.95" customHeight="1" x14ac:dyDescent="0.3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28"/>
      <c r="R1" s="428"/>
      <c r="S1" s="428"/>
      <c r="T1" s="428"/>
      <c r="AB1" s="266"/>
      <c r="AC1" s="266"/>
      <c r="AD1" s="266"/>
    </row>
    <row r="2" spans="1:30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324"/>
      <c r="R2" s="324"/>
      <c r="S2" s="33"/>
      <c r="T2" s="324"/>
    </row>
    <row r="3" spans="1:30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30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7"/>
      <c r="R4" s="27"/>
      <c r="S4" s="33"/>
      <c r="T4" s="27"/>
    </row>
    <row r="5" spans="1:30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30" s="164" customFormat="1" ht="24.95" customHeight="1" x14ac:dyDescent="0.25">
      <c r="A6" s="266"/>
      <c r="B6" s="266"/>
      <c r="C6" s="699" t="s">
        <v>2035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266"/>
      <c r="P6" s="266"/>
      <c r="Q6" s="311"/>
      <c r="R6" s="311"/>
      <c r="S6" s="207"/>
      <c r="T6" s="311"/>
    </row>
    <row r="7" spans="1:30" s="164" customFormat="1" ht="15" customHeight="1" x14ac:dyDescent="0.25">
      <c r="A7" s="266"/>
      <c r="B7" s="266"/>
      <c r="C7" s="235"/>
      <c r="N7" s="235"/>
      <c r="O7" s="266"/>
      <c r="P7" s="266"/>
      <c r="Q7" s="311"/>
      <c r="R7" s="311"/>
      <c r="S7" s="207"/>
      <c r="T7" s="311"/>
    </row>
    <row r="8" spans="1:30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AB8" s="208"/>
      <c r="AC8" s="283"/>
    </row>
    <row r="9" spans="1:30" ht="15" customHeight="1" x14ac:dyDescent="0.2">
      <c r="D9" s="227"/>
      <c r="E9" s="88"/>
      <c r="F9" s="86"/>
      <c r="G9" s="86"/>
      <c r="H9" s="86"/>
      <c r="I9" s="86"/>
      <c r="J9" s="86"/>
      <c r="K9" s="86"/>
      <c r="L9" s="86"/>
      <c r="M9" s="86"/>
      <c r="AB9" s="208"/>
      <c r="AC9" s="283"/>
    </row>
    <row r="10" spans="1:30" ht="15" customHeight="1" x14ac:dyDescent="0.2">
      <c r="AB10" s="208"/>
      <c r="AC10" s="283"/>
    </row>
    <row r="11" spans="1:30" ht="15" customHeight="1" x14ac:dyDescent="0.2">
      <c r="D11" s="292" t="s">
        <v>671</v>
      </c>
      <c r="E11" s="49"/>
      <c r="F11" s="49"/>
      <c r="G11" s="9">
        <v>2</v>
      </c>
      <c r="H11" s="298" t="s">
        <v>2070</v>
      </c>
      <c r="I11" s="9">
        <v>1</v>
      </c>
      <c r="J11" s="292" t="s">
        <v>2100</v>
      </c>
      <c r="K11" s="527">
        <f>(10000/(G11*I11))</f>
        <v>5000</v>
      </c>
      <c r="L11" s="49" t="s">
        <v>353</v>
      </c>
      <c r="M11" s="49"/>
      <c r="N11" s="49"/>
    </row>
    <row r="12" spans="1:30" ht="15" customHeight="1" x14ac:dyDescent="0.2">
      <c r="C12" s="27"/>
      <c r="D12" s="292"/>
      <c r="E12" s="26"/>
      <c r="F12" s="171"/>
      <c r="G12" s="171"/>
      <c r="H12" s="171"/>
      <c r="I12" s="273"/>
      <c r="J12" s="527"/>
      <c r="K12" s="26"/>
      <c r="L12" s="26"/>
      <c r="M12" s="49"/>
      <c r="N12" s="49"/>
    </row>
    <row r="13" spans="1:30" ht="15" customHeight="1" x14ac:dyDescent="0.2">
      <c r="C13" s="27"/>
      <c r="D13" s="49" t="s">
        <v>566</v>
      </c>
      <c r="E13" s="170"/>
      <c r="F13" s="49"/>
      <c r="G13" s="11">
        <v>7000</v>
      </c>
      <c r="H13" s="273" t="s">
        <v>1972</v>
      </c>
      <c r="I13" s="49"/>
      <c r="J13" s="256" t="s">
        <v>1969</v>
      </c>
      <c r="K13" s="563">
        <f>G13/K11</f>
        <v>1.4</v>
      </c>
      <c r="L13" s="572" t="s">
        <v>1970</v>
      </c>
      <c r="M13" s="49"/>
      <c r="N13" s="49"/>
    </row>
    <row r="14" spans="1:30" ht="15" customHeight="1" x14ac:dyDescent="0.2">
      <c r="C14" s="27"/>
      <c r="D14" s="292"/>
      <c r="E14" s="26"/>
      <c r="F14" s="171"/>
      <c r="G14" s="171"/>
      <c r="H14" s="171"/>
      <c r="I14" s="273"/>
      <c r="J14" s="527"/>
      <c r="K14" s="26"/>
      <c r="L14" s="26"/>
      <c r="M14" s="49"/>
      <c r="N14" s="49"/>
    </row>
    <row r="15" spans="1:30" ht="15" customHeight="1" x14ac:dyDescent="0.2">
      <c r="C15" s="27"/>
      <c r="D15" s="292"/>
      <c r="E15" s="26"/>
      <c r="F15" s="171"/>
      <c r="G15" s="171"/>
      <c r="H15" s="171"/>
      <c r="I15" s="273"/>
      <c r="J15" s="527"/>
      <c r="K15" s="26"/>
      <c r="L15" s="26"/>
      <c r="M15" s="49"/>
      <c r="N15" s="49"/>
    </row>
    <row r="16" spans="1:30" ht="15" customHeight="1" x14ac:dyDescent="0.2">
      <c r="D16" s="170" t="s">
        <v>1703</v>
      </c>
      <c r="E16" s="49"/>
      <c r="F16" s="49"/>
      <c r="G16" s="9">
        <v>5</v>
      </c>
      <c r="H16" s="356" t="s">
        <v>1953</v>
      </c>
      <c r="I16" s="49"/>
      <c r="J16" s="49"/>
      <c r="K16" s="171"/>
      <c r="L16" s="171"/>
      <c r="M16" s="171"/>
      <c r="N16" s="171"/>
      <c r="O16" s="208"/>
      <c r="P16" s="208"/>
      <c r="Q16" s="208"/>
      <c r="R16" s="208"/>
      <c r="S16" s="208"/>
      <c r="T16" s="208"/>
    </row>
    <row r="17" spans="3:23" ht="15" customHeight="1" x14ac:dyDescent="0.2">
      <c r="D17" s="292"/>
      <c r="E17" s="49"/>
      <c r="F17" s="49"/>
      <c r="G17" s="9">
        <v>120</v>
      </c>
      <c r="H17" s="356" t="s">
        <v>1933</v>
      </c>
      <c r="I17" s="49"/>
      <c r="J17" s="49"/>
      <c r="K17" s="171"/>
      <c r="L17" s="171"/>
      <c r="M17" s="171"/>
      <c r="N17" s="171"/>
      <c r="O17" s="208"/>
      <c r="P17" s="208"/>
      <c r="Q17" s="208"/>
      <c r="R17" s="208"/>
      <c r="S17" s="208"/>
      <c r="T17" s="208"/>
      <c r="U17" s="600"/>
      <c r="V17" s="208"/>
      <c r="W17" s="208"/>
    </row>
    <row r="18" spans="3:23" ht="15" customHeight="1" x14ac:dyDescent="0.2">
      <c r="D18" s="273"/>
      <c r="E18" s="273"/>
      <c r="F18" s="49"/>
      <c r="G18" s="9">
        <v>30</v>
      </c>
      <c r="H18" s="356" t="s">
        <v>1929</v>
      </c>
      <c r="I18" s="273"/>
      <c r="J18" s="49"/>
      <c r="K18" s="49"/>
      <c r="L18" s="49"/>
      <c r="M18" s="49"/>
      <c r="N18" s="49"/>
      <c r="S18" s="208"/>
      <c r="T18" s="208"/>
      <c r="U18" s="208"/>
      <c r="V18" s="224"/>
      <c r="W18" s="281"/>
    </row>
    <row r="19" spans="3:23" ht="15" customHeight="1" x14ac:dyDescent="0.2">
      <c r="D19" s="273"/>
      <c r="E19" s="273"/>
      <c r="F19" s="49"/>
      <c r="G19" s="9">
        <v>8</v>
      </c>
      <c r="H19" s="356" t="s">
        <v>1934</v>
      </c>
      <c r="I19" s="273"/>
      <c r="J19" s="49"/>
      <c r="K19" s="49"/>
      <c r="L19" s="49"/>
      <c r="M19" s="49"/>
      <c r="N19" s="49"/>
      <c r="S19" s="208"/>
      <c r="T19" s="208"/>
      <c r="U19" s="208"/>
      <c r="V19" s="224"/>
      <c r="W19" s="281"/>
    </row>
    <row r="20" spans="3:23" ht="15" customHeight="1" x14ac:dyDescent="0.2">
      <c r="D20" s="49"/>
      <c r="E20" s="273"/>
      <c r="F20" s="49"/>
      <c r="G20" s="49"/>
      <c r="H20" s="49"/>
      <c r="I20" s="273"/>
      <c r="J20" s="49"/>
      <c r="K20" s="49"/>
      <c r="L20" s="49"/>
      <c r="M20" s="49"/>
      <c r="N20" s="49"/>
      <c r="S20" s="208"/>
      <c r="T20" s="208"/>
      <c r="U20" s="208"/>
      <c r="V20" s="224"/>
      <c r="W20" s="281"/>
    </row>
    <row r="21" spans="3:23" ht="15" customHeight="1" x14ac:dyDescent="0.2">
      <c r="D21" s="273" t="s">
        <v>340</v>
      </c>
      <c r="E21" s="49"/>
      <c r="F21" s="49"/>
      <c r="G21" s="9">
        <v>90</v>
      </c>
      <c r="H21" s="49" t="s">
        <v>341</v>
      </c>
      <c r="I21" s="49"/>
      <c r="J21" s="49"/>
      <c r="K21" s="49"/>
      <c r="L21" s="49"/>
      <c r="M21" s="49"/>
      <c r="N21" s="49"/>
      <c r="S21" s="208"/>
      <c r="T21" s="208"/>
      <c r="U21" s="208"/>
      <c r="V21" s="224"/>
      <c r="W21" s="281"/>
    </row>
    <row r="22" spans="3:23" ht="15" customHeight="1" x14ac:dyDescent="0.2">
      <c r="D22" s="273"/>
      <c r="E22" s="170"/>
      <c r="F22" s="170"/>
      <c r="G22" s="170"/>
      <c r="H22" s="273"/>
      <c r="I22" s="49"/>
      <c r="J22" s="49"/>
      <c r="K22" s="49"/>
      <c r="L22" s="49"/>
      <c r="M22" s="49"/>
      <c r="N22" s="49"/>
      <c r="S22" s="208"/>
      <c r="T22" s="208"/>
      <c r="U22" s="208"/>
      <c r="V22" s="224"/>
      <c r="W22" s="281"/>
    </row>
    <row r="23" spans="3:23" ht="15" customHeight="1" x14ac:dyDescent="0.2">
      <c r="E23" s="296"/>
      <c r="F23" s="208"/>
      <c r="G23" s="465"/>
      <c r="H23" s="208"/>
      <c r="I23" s="280"/>
      <c r="S23" s="208"/>
      <c r="T23" s="208"/>
      <c r="U23" s="208"/>
      <c r="V23" s="208"/>
      <c r="W23" s="283"/>
    </row>
    <row r="24" spans="3:23" ht="15" customHeight="1" x14ac:dyDescent="0.25">
      <c r="D24" s="291" t="s">
        <v>371</v>
      </c>
      <c r="E24" s="296"/>
      <c r="F24" s="208"/>
      <c r="G24" s="465"/>
      <c r="H24" s="208"/>
      <c r="I24" s="280"/>
      <c r="S24" s="208"/>
      <c r="T24" s="208"/>
      <c r="U24" s="208"/>
      <c r="V24" s="208"/>
      <c r="W24" s="283"/>
    </row>
    <row r="25" spans="3:23" ht="15" customHeight="1" x14ac:dyDescent="0.2">
      <c r="C25" s="49"/>
      <c r="E25" s="277" t="s">
        <v>573</v>
      </c>
      <c r="F25" s="49"/>
      <c r="G25" s="49"/>
      <c r="H25" s="220">
        <f>IF((G19*(60-G18)/G21)&gt;0,G19*(60-G18)/G21,0)</f>
        <v>2.6666666666666665</v>
      </c>
      <c r="I25" s="273" t="s">
        <v>1143</v>
      </c>
      <c r="J25" s="273"/>
      <c r="K25" s="49"/>
      <c r="L25" s="49"/>
      <c r="M25" s="49"/>
      <c r="S25" s="208"/>
      <c r="T25" s="208"/>
      <c r="U25" s="208"/>
      <c r="V25" s="208"/>
      <c r="W25" s="283"/>
    </row>
    <row r="26" spans="3:23" ht="15" customHeight="1" x14ac:dyDescent="0.2">
      <c r="C26" s="49"/>
      <c r="E26" s="49"/>
      <c r="F26" s="292"/>
      <c r="G26" s="171"/>
      <c r="H26" s="465"/>
      <c r="I26" s="171"/>
      <c r="J26" s="273"/>
      <c r="K26" s="49"/>
      <c r="L26" s="49"/>
      <c r="M26" s="49"/>
      <c r="S26" s="208"/>
      <c r="T26" s="208"/>
      <c r="U26" s="208"/>
      <c r="V26" s="208"/>
      <c r="W26" s="283"/>
    </row>
    <row r="27" spans="3:23" ht="15" customHeight="1" x14ac:dyDescent="0.2">
      <c r="C27" s="49"/>
      <c r="E27" s="277" t="s">
        <v>572</v>
      </c>
      <c r="F27" s="292"/>
      <c r="G27" s="171"/>
      <c r="H27" s="465"/>
      <c r="I27" s="171"/>
      <c r="J27" s="273"/>
      <c r="K27" s="49"/>
      <c r="L27" s="49"/>
      <c r="M27" s="49"/>
      <c r="S27" s="208"/>
      <c r="T27" s="208"/>
      <c r="U27" s="208"/>
      <c r="V27" s="208"/>
      <c r="W27" s="283"/>
    </row>
    <row r="28" spans="3:23" ht="15" customHeight="1" x14ac:dyDescent="0.2">
      <c r="C28" s="49"/>
      <c r="E28" s="601" t="s">
        <v>2037</v>
      </c>
      <c r="F28" s="328"/>
      <c r="G28" s="330"/>
      <c r="H28" s="330"/>
      <c r="I28" s="329">
        <f>IF(G16&lt;10,200,IF(AND(G16&gt;=10,G16&lt;20),150,IF(AND(G16&gt;=20,G16&lt;40),100,IF(AND(G16&gt;=40,G16&lt;60),50,0))))</f>
        <v>200</v>
      </c>
      <c r="J28" s="330" t="s">
        <v>2040</v>
      </c>
      <c r="K28" s="330"/>
      <c r="L28" s="330"/>
      <c r="M28" s="49"/>
      <c r="Q28" s="219"/>
      <c r="W28" s="602"/>
    </row>
    <row r="29" spans="3:23" ht="15" customHeight="1" x14ac:dyDescent="0.2">
      <c r="C29" s="49"/>
      <c r="E29" s="506"/>
      <c r="F29" s="332"/>
      <c r="G29" s="346"/>
      <c r="H29" s="346"/>
      <c r="I29" s="338">
        <v>30</v>
      </c>
      <c r="J29" s="332" t="s">
        <v>2041</v>
      </c>
      <c r="K29" s="332"/>
      <c r="L29" s="332"/>
      <c r="M29" s="49"/>
      <c r="Q29" s="219"/>
      <c r="R29" s="220"/>
      <c r="W29" s="602"/>
    </row>
    <row r="30" spans="3:23" ht="15" customHeight="1" x14ac:dyDescent="0.2">
      <c r="C30" s="49"/>
      <c r="E30" s="601" t="s">
        <v>2036</v>
      </c>
      <c r="F30" s="328"/>
      <c r="G30" s="330"/>
      <c r="H30" s="330"/>
      <c r="I30" s="329">
        <v>30</v>
      </c>
      <c r="J30" s="603" t="s">
        <v>372</v>
      </c>
      <c r="K30" s="604" t="str">
        <f>IF(G17&lt;60,"20-00-30.",IF(AND(G17&gt;=60,G17&lt;120),"20-00-20.",IF(AND(G17&gt;=120,G17&lt;200),"20-00-15.",IF(AND(G17&gt;=200,G17&lt;280),"20-00-10.","Sultato de Amônio."))))</f>
        <v>20-00-15.</v>
      </c>
      <c r="L30" s="330"/>
      <c r="M30" s="49"/>
      <c r="R30" s="289"/>
      <c r="S30" s="27"/>
      <c r="T30" s="27"/>
    </row>
    <row r="31" spans="3:23" ht="15" customHeight="1" x14ac:dyDescent="0.2">
      <c r="C31" s="49"/>
      <c r="E31" s="506"/>
      <c r="F31" s="332"/>
      <c r="G31" s="346"/>
      <c r="H31" s="346"/>
      <c r="I31" s="338"/>
      <c r="J31" s="258"/>
      <c r="K31" s="258"/>
      <c r="L31" s="332"/>
      <c r="M31" s="219"/>
      <c r="N31" s="219"/>
      <c r="O31" s="219"/>
      <c r="P31" s="219"/>
    </row>
    <row r="32" spans="3:23" ht="15" customHeight="1" x14ac:dyDescent="0.2">
      <c r="C32" s="49"/>
      <c r="E32" s="601" t="s">
        <v>2038</v>
      </c>
      <c r="F32" s="328"/>
      <c r="G32" s="330"/>
      <c r="H32" s="330"/>
      <c r="I32" s="329">
        <v>50</v>
      </c>
      <c r="J32" s="603" t="s">
        <v>372</v>
      </c>
      <c r="K32" s="604" t="str">
        <f>K30</f>
        <v>20-00-15.</v>
      </c>
      <c r="L32" s="330"/>
      <c r="M32" s="219"/>
      <c r="N32" s="219"/>
      <c r="O32" s="219"/>
      <c r="P32" s="219"/>
    </row>
    <row r="33" spans="3:22" ht="15" customHeight="1" x14ac:dyDescent="0.2">
      <c r="C33" s="49"/>
      <c r="E33" s="506"/>
      <c r="F33" s="332"/>
      <c r="G33" s="346"/>
      <c r="H33" s="346"/>
      <c r="I33" s="338"/>
      <c r="J33" s="258"/>
      <c r="K33" s="258"/>
      <c r="L33" s="332"/>
      <c r="M33" s="49"/>
      <c r="Q33" s="219"/>
      <c r="R33" s="219"/>
    </row>
    <row r="34" spans="3:22" ht="15" customHeight="1" x14ac:dyDescent="0.2">
      <c r="C34" s="49"/>
      <c r="E34" s="601" t="s">
        <v>2039</v>
      </c>
      <c r="F34" s="328"/>
      <c r="G34" s="330"/>
      <c r="H34" s="330"/>
      <c r="I34" s="329">
        <v>80</v>
      </c>
      <c r="J34" s="603" t="s">
        <v>372</v>
      </c>
      <c r="K34" s="604" t="str">
        <f>K32</f>
        <v>20-00-15.</v>
      </c>
      <c r="L34" s="330"/>
      <c r="M34" s="219"/>
      <c r="N34" s="219"/>
      <c r="O34" s="219"/>
      <c r="P34" s="219"/>
    </row>
    <row r="35" spans="3:22" s="281" customFormat="1" ht="15" customHeight="1" x14ac:dyDescent="0.2">
      <c r="C35" s="170"/>
      <c r="E35" s="506"/>
      <c r="F35" s="332"/>
      <c r="G35" s="346"/>
      <c r="H35" s="346"/>
      <c r="I35" s="338"/>
      <c r="J35" s="258"/>
      <c r="K35" s="258"/>
      <c r="L35" s="332"/>
      <c r="M35" s="170"/>
    </row>
    <row r="36" spans="3:22" s="281" customFormat="1" ht="15" customHeight="1" x14ac:dyDescent="0.2">
      <c r="C36" s="170"/>
      <c r="E36" s="277"/>
      <c r="F36" s="26"/>
      <c r="G36" s="273"/>
      <c r="H36" s="224"/>
      <c r="I36" s="26"/>
      <c r="J36" s="26"/>
      <c r="K36" s="26"/>
      <c r="L36" s="26"/>
      <c r="M36" s="170"/>
    </row>
    <row r="37" spans="3:22" ht="15" customHeight="1" x14ac:dyDescent="0.2">
      <c r="E37" s="219" t="s">
        <v>675</v>
      </c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89"/>
    </row>
    <row r="38" spans="3:22" s="281" customFormat="1" ht="15" customHeight="1" x14ac:dyDescent="0.2">
      <c r="E38" s="216" t="s">
        <v>574</v>
      </c>
      <c r="F38" s="576"/>
      <c r="G38" s="576"/>
      <c r="H38" s="576"/>
      <c r="I38" s="255" t="s">
        <v>575</v>
      </c>
      <c r="J38" s="576"/>
      <c r="K38" s="255" t="str">
        <f>"Área do talhão: "&amp;K13&amp;" ha"</f>
        <v>Área do talhão: 1,4 ha</v>
      </c>
      <c r="L38" s="255"/>
      <c r="M38" s="27"/>
      <c r="N38" s="27"/>
      <c r="O38" s="27"/>
      <c r="P38" s="27"/>
      <c r="Q38" s="27"/>
      <c r="R38" s="27"/>
      <c r="S38" s="283"/>
      <c r="T38" s="283"/>
      <c r="U38" s="263"/>
    </row>
    <row r="39" spans="3:22" s="281" customFormat="1" ht="15" customHeight="1" x14ac:dyDescent="0.2">
      <c r="E39" s="27" t="s">
        <v>577</v>
      </c>
      <c r="F39" s="27"/>
      <c r="I39" s="218">
        <f>(((I30+I32+I34)*K11)/1000)/50</f>
        <v>16</v>
      </c>
      <c r="J39" s="263"/>
      <c r="K39" s="218">
        <f>I39*K13</f>
        <v>22.4</v>
      </c>
      <c r="L39" s="263"/>
      <c r="M39" s="263"/>
      <c r="N39" s="263"/>
      <c r="O39" s="263"/>
      <c r="P39" s="263"/>
      <c r="Q39" s="263"/>
      <c r="R39" s="263"/>
      <c r="S39" s="283"/>
      <c r="T39" s="283"/>
      <c r="U39" s="283"/>
    </row>
    <row r="40" spans="3:22" s="281" customFormat="1" ht="15" customHeight="1" x14ac:dyDescent="0.2">
      <c r="E40" s="27" t="s">
        <v>578</v>
      </c>
      <c r="F40" s="27"/>
      <c r="I40" s="218">
        <f>(((I28*K11)/1000)/50)</f>
        <v>20</v>
      </c>
      <c r="J40" s="263"/>
      <c r="K40" s="218">
        <f>I40*K13</f>
        <v>28</v>
      </c>
      <c r="L40" s="263"/>
      <c r="M40" s="263"/>
      <c r="N40" s="263"/>
      <c r="O40" s="263"/>
      <c r="P40" s="263"/>
      <c r="Q40" s="263"/>
      <c r="R40" s="263"/>
      <c r="S40" s="283"/>
      <c r="T40" s="283"/>
      <c r="U40" s="283"/>
    </row>
    <row r="41" spans="3:22" s="281" customFormat="1" ht="15" customHeight="1" x14ac:dyDescent="0.2">
      <c r="E41" s="157" t="s">
        <v>579</v>
      </c>
      <c r="F41" s="157"/>
      <c r="G41" s="507"/>
      <c r="H41" s="507"/>
      <c r="I41" s="341">
        <f>H25*1000/50</f>
        <v>53.333333333333329</v>
      </c>
      <c r="J41" s="343"/>
      <c r="K41" s="341">
        <f>I41*K13</f>
        <v>74.666666666666657</v>
      </c>
      <c r="L41" s="343"/>
      <c r="M41" s="263"/>
      <c r="N41" s="263"/>
      <c r="O41" s="263"/>
      <c r="P41" s="263"/>
      <c r="Q41" s="263"/>
      <c r="R41" s="263"/>
      <c r="S41" s="283"/>
      <c r="T41" s="283"/>
      <c r="U41" s="283"/>
    </row>
    <row r="42" spans="3:22" s="281" customFormat="1" ht="15" customHeight="1" x14ac:dyDescent="0.2">
      <c r="D42" s="275"/>
      <c r="K42" s="283"/>
      <c r="L42" s="283"/>
    </row>
    <row r="43" spans="3:22" s="281" customFormat="1" ht="15" customHeight="1" x14ac:dyDescent="0.2">
      <c r="D43" s="275"/>
    </row>
    <row r="44" spans="3:22" s="281" customFormat="1" ht="15" customHeight="1" x14ac:dyDescent="0.2">
      <c r="D44" s="277"/>
      <c r="E44" s="275"/>
    </row>
    <row r="45" spans="3:22" s="281" customFormat="1" ht="15" customHeight="1" x14ac:dyDescent="0.2">
      <c r="D45" s="277"/>
      <c r="E45" s="275"/>
    </row>
    <row r="46" spans="3:22" s="281" customFormat="1" ht="15" customHeight="1" x14ac:dyDescent="0.2">
      <c r="D46" s="275"/>
      <c r="E46" s="277"/>
      <c r="F46" s="275"/>
    </row>
    <row r="47" spans="3:22" s="281" customFormat="1" ht="15" customHeight="1" x14ac:dyDescent="0.2">
      <c r="D47" s="275"/>
      <c r="E47" s="277"/>
      <c r="F47" s="275"/>
    </row>
    <row r="48" spans="3:22" s="281" customFormat="1" ht="15" customHeight="1" x14ac:dyDescent="0.2">
      <c r="D48" s="273"/>
      <c r="E48" s="275"/>
    </row>
    <row r="49" spans="1:22" s="60" customFormat="1" ht="15" customHeight="1" x14ac:dyDescent="0.2">
      <c r="C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</row>
    <row r="50" spans="1:22" s="60" customFormat="1" ht="15" customHeight="1" x14ac:dyDescent="0.2">
      <c r="C50" s="296"/>
      <c r="D50" s="226" t="s">
        <v>891</v>
      </c>
      <c r="E50" s="296"/>
      <c r="F50" s="296"/>
      <c r="G50" s="296"/>
      <c r="H50" s="296" t="s">
        <v>892</v>
      </c>
      <c r="I50" s="296"/>
      <c r="S50" s="296"/>
      <c r="T50" s="296"/>
      <c r="U50" s="296"/>
      <c r="V50" s="296"/>
    </row>
    <row r="51" spans="1:22" s="60" customFormat="1" ht="15" customHeight="1" x14ac:dyDescent="0.2">
      <c r="C51" s="296"/>
      <c r="D51" s="267"/>
      <c r="E51" s="296"/>
      <c r="F51" s="296"/>
      <c r="G51" s="296"/>
      <c r="H51" s="772"/>
      <c r="I51" s="772"/>
      <c r="J51" s="772"/>
      <c r="K51" s="772"/>
      <c r="L51" s="263"/>
      <c r="M51" s="263"/>
      <c r="N51" s="263"/>
      <c r="O51" s="263"/>
      <c r="P51" s="263"/>
      <c r="Q51" s="263"/>
      <c r="R51" s="263"/>
      <c r="S51" s="296"/>
      <c r="T51" s="296"/>
      <c r="U51" s="296"/>
      <c r="V51" s="296"/>
    </row>
    <row r="52" spans="1:22" s="60" customFormat="1" ht="15" hidden="1" customHeight="1" x14ac:dyDescent="0.2">
      <c r="C52" s="296"/>
      <c r="D52" s="267"/>
      <c r="E52" s="296"/>
      <c r="F52" s="296"/>
      <c r="G52" s="296"/>
      <c r="H52" s="296"/>
      <c r="I52" s="296"/>
      <c r="S52" s="296"/>
      <c r="T52" s="296"/>
      <c r="U52" s="296"/>
      <c r="V52" s="296"/>
    </row>
    <row r="53" spans="1:22" s="60" customFormat="1" ht="15" hidden="1" customHeight="1" x14ac:dyDescent="0.2">
      <c r="C53" s="296"/>
      <c r="D53" s="267"/>
      <c r="E53" s="296"/>
      <c r="F53" s="296"/>
      <c r="G53" s="296"/>
      <c r="H53" s="296"/>
      <c r="I53" s="296"/>
      <c r="S53" s="296"/>
      <c r="T53" s="296"/>
      <c r="U53" s="296"/>
      <c r="V53" s="296"/>
    </row>
    <row r="54" spans="1:22" s="60" customFormat="1" ht="15" hidden="1" customHeight="1" x14ac:dyDescent="0.2">
      <c r="C54" s="296"/>
      <c r="D54" s="267"/>
      <c r="E54" s="296"/>
      <c r="F54" s="296"/>
      <c r="G54" s="296"/>
      <c r="H54" s="296"/>
      <c r="I54" s="296"/>
      <c r="S54" s="296"/>
      <c r="T54" s="296"/>
      <c r="U54" s="296"/>
      <c r="V54" s="296"/>
    </row>
    <row r="55" spans="1:22" s="60" customFormat="1" ht="15" hidden="1" customHeight="1" x14ac:dyDescent="0.2">
      <c r="A55" s="296"/>
      <c r="B55" s="267"/>
      <c r="C55" s="296"/>
      <c r="D55" s="296"/>
      <c r="E55" s="296"/>
      <c r="F55" s="296"/>
      <c r="G55" s="296"/>
      <c r="Q55" s="296"/>
      <c r="R55" s="296"/>
      <c r="S55" s="296"/>
      <c r="T55" s="296"/>
    </row>
    <row r="56" spans="1:22" s="60" customFormat="1" ht="15" hidden="1" customHeight="1" x14ac:dyDescent="0.2">
      <c r="A56" s="296"/>
      <c r="B56" s="267"/>
      <c r="C56" s="296"/>
      <c r="D56" s="296"/>
      <c r="E56" s="296"/>
      <c r="F56" s="296"/>
      <c r="G56" s="296"/>
      <c r="Q56" s="296"/>
      <c r="R56" s="296"/>
      <c r="S56" s="296"/>
      <c r="T56" s="296"/>
    </row>
    <row r="57" spans="1:22" s="60" customFormat="1" ht="15" hidden="1" customHeight="1" x14ac:dyDescent="0.2">
      <c r="A57" s="296"/>
      <c r="B57" s="267"/>
      <c r="C57" s="296"/>
      <c r="D57" s="296"/>
      <c r="E57" s="296"/>
      <c r="F57" s="296"/>
      <c r="G57" s="296"/>
      <c r="Q57" s="296"/>
      <c r="R57" s="296"/>
      <c r="S57" s="296"/>
      <c r="T57" s="296"/>
    </row>
    <row r="58" spans="1:22" s="60" customFormat="1" ht="15" hidden="1" customHeight="1" x14ac:dyDescent="0.2">
      <c r="A58" s="296"/>
      <c r="B58" s="111"/>
      <c r="C58" s="296"/>
      <c r="D58" s="296"/>
      <c r="E58" s="296"/>
      <c r="F58" s="296"/>
      <c r="G58" s="296"/>
      <c r="Q58" s="296"/>
      <c r="R58" s="296"/>
      <c r="S58" s="296"/>
      <c r="T58" s="296"/>
    </row>
    <row r="59" spans="1:22" ht="15" hidden="1" customHeight="1" x14ac:dyDescent="0.2">
      <c r="A59" s="27"/>
      <c r="C59" s="27"/>
      <c r="D59" s="27"/>
      <c r="E59" s="27"/>
      <c r="F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spans="1:22" ht="15" hidden="1" customHeight="1" x14ac:dyDescent="0.2">
      <c r="B60" s="462"/>
      <c r="C60" s="267"/>
      <c r="D60" s="213"/>
      <c r="E60" s="213"/>
      <c r="G60" s="462"/>
    </row>
    <row r="61" spans="1:22" s="60" customFormat="1" ht="15" hidden="1" customHeight="1" x14ac:dyDescent="0.2">
      <c r="C61" s="267"/>
      <c r="D61" s="294"/>
      <c r="E61" s="605"/>
      <c r="F61" s="605"/>
      <c r="G61" s="294"/>
    </row>
    <row r="62" spans="1:22" s="60" customFormat="1" ht="15" hidden="1" customHeight="1" x14ac:dyDescent="0.2">
      <c r="B62" s="207"/>
      <c r="C62" s="266"/>
      <c r="E62" s="294"/>
      <c r="F62" s="294"/>
      <c r="G62" s="294"/>
    </row>
    <row r="63" spans="1:22" s="60" customFormat="1" ht="15" hidden="1" customHeight="1" x14ac:dyDescent="0.2">
      <c r="B63" s="267"/>
      <c r="C63" s="462"/>
      <c r="D63" s="294"/>
      <c r="E63" s="294"/>
      <c r="F63" s="294"/>
      <c r="G63" s="294"/>
    </row>
    <row r="64" spans="1:22" s="60" customFormat="1" ht="15" hidden="1" customHeight="1" x14ac:dyDescent="0.2">
      <c r="B64" s="267"/>
      <c r="C64" s="267"/>
      <c r="D64" s="294"/>
      <c r="E64" s="294"/>
      <c r="F64" s="294"/>
      <c r="G64" s="294"/>
    </row>
    <row r="65" spans="2:22" s="60" customFormat="1" ht="15" hidden="1" customHeight="1" x14ac:dyDescent="0.2">
      <c r="B65" s="267"/>
      <c r="C65" s="267"/>
      <c r="D65" s="294"/>
      <c r="E65" s="294"/>
      <c r="F65" s="294"/>
      <c r="G65" s="294"/>
    </row>
    <row r="66" spans="2:22" s="60" customFormat="1" ht="15" hidden="1" customHeight="1" x14ac:dyDescent="0.2">
      <c r="B66" s="267"/>
      <c r="C66" s="267"/>
      <c r="D66" s="294"/>
      <c r="E66" s="294"/>
      <c r="F66" s="294"/>
      <c r="G66" s="294"/>
    </row>
    <row r="67" spans="2:22" s="60" customFormat="1" ht="15" hidden="1" customHeight="1" x14ac:dyDescent="0.2">
      <c r="B67" s="267"/>
      <c r="D67" s="294"/>
      <c r="E67" s="294"/>
      <c r="F67" s="294"/>
      <c r="G67" s="294"/>
    </row>
    <row r="68" spans="2:22" s="60" customFormat="1" ht="15" hidden="1" customHeight="1" x14ac:dyDescent="0.2">
      <c r="B68" s="267"/>
      <c r="C68" s="267"/>
      <c r="D68" s="294"/>
      <c r="E68" s="294"/>
      <c r="F68" s="294"/>
      <c r="G68" s="294"/>
    </row>
    <row r="69" spans="2:22" s="60" customFormat="1" ht="15" hidden="1" customHeight="1" x14ac:dyDescent="0.2">
      <c r="B69" s="267"/>
      <c r="C69" s="267"/>
    </row>
    <row r="70" spans="2:22" s="60" customFormat="1" ht="15" hidden="1" customHeight="1" x14ac:dyDescent="0.2">
      <c r="B70" s="267"/>
      <c r="C70" s="267"/>
    </row>
    <row r="71" spans="2:22" s="60" customFormat="1" ht="15" hidden="1" customHeight="1" x14ac:dyDescent="0.2">
      <c r="B71" s="267"/>
      <c r="C71" s="267"/>
    </row>
    <row r="72" spans="2:22" ht="15" hidden="1" customHeight="1" x14ac:dyDescent="0.2">
      <c r="B72" s="208" t="s">
        <v>923</v>
      </c>
      <c r="C72" s="208"/>
    </row>
    <row r="73" spans="2:22" ht="15" hidden="1" customHeight="1" x14ac:dyDescent="0.2">
      <c r="B73" s="208"/>
      <c r="C73" s="208"/>
    </row>
    <row r="74" spans="2:22" ht="15" hidden="1" customHeight="1" x14ac:dyDescent="0.2">
      <c r="B74" s="606" t="s">
        <v>430</v>
      </c>
      <c r="C74" s="230" t="s">
        <v>431</v>
      </c>
      <c r="D74" s="606" t="s">
        <v>430</v>
      </c>
      <c r="E74" s="606"/>
      <c r="F74" s="606"/>
      <c r="G74" s="230" t="s">
        <v>431</v>
      </c>
    </row>
    <row r="75" spans="2:22" ht="15" hidden="1" customHeight="1" x14ac:dyDescent="0.2">
      <c r="B75" s="606" t="s">
        <v>353</v>
      </c>
      <c r="C75" s="230" t="s">
        <v>434</v>
      </c>
      <c r="D75" s="606" t="s">
        <v>353</v>
      </c>
      <c r="E75" s="606"/>
      <c r="F75" s="606"/>
      <c r="G75" s="230" t="s">
        <v>434</v>
      </c>
    </row>
    <row r="76" spans="2:22" ht="15" hidden="1" customHeight="1" x14ac:dyDescent="0.2">
      <c r="B76" s="607">
        <f>K11</f>
        <v>5000</v>
      </c>
      <c r="C76" s="278" t="e">
        <f>#REF!</f>
        <v>#REF!</v>
      </c>
      <c r="D76" s="607">
        <f>K11</f>
        <v>5000</v>
      </c>
      <c r="E76" s="607"/>
      <c r="F76" s="607"/>
      <c r="G76" s="278" t="e">
        <f>#REF!</f>
        <v>#REF!</v>
      </c>
    </row>
    <row r="77" spans="2:22" ht="15" hidden="1" customHeight="1" x14ac:dyDescent="0.2">
      <c r="B77" s="783"/>
      <c r="C77" s="783"/>
    </row>
    <row r="78" spans="2:22" ht="15" hidden="1" customHeight="1" x14ac:dyDescent="0.2">
      <c r="B78" s="608" t="s">
        <v>439</v>
      </c>
      <c r="C78" s="608"/>
      <c r="Q78" s="609"/>
      <c r="R78" s="263"/>
      <c r="S78" s="263"/>
      <c r="T78" s="263"/>
      <c r="U78" s="263"/>
      <c r="V78" s="263"/>
    </row>
    <row r="79" spans="2:22" s="213" customFormat="1" ht="15" hidden="1" customHeight="1" x14ac:dyDescent="0.2">
      <c r="B79" s="278" t="s">
        <v>440</v>
      </c>
      <c r="C79" s="278" t="s">
        <v>441</v>
      </c>
      <c r="D79" s="278" t="s">
        <v>442</v>
      </c>
      <c r="E79" s="278"/>
      <c r="F79" s="278"/>
      <c r="G79" s="278" t="s">
        <v>443</v>
      </c>
      <c r="H79" s="278" t="s">
        <v>444</v>
      </c>
      <c r="I79" s="278"/>
      <c r="J79" s="278"/>
      <c r="K79" s="278"/>
      <c r="L79" s="278"/>
      <c r="M79" s="278"/>
      <c r="N79" s="278"/>
      <c r="O79" s="278"/>
      <c r="P79" s="278"/>
      <c r="Q79" s="610" t="s">
        <v>427</v>
      </c>
      <c r="R79" s="610"/>
      <c r="S79" s="611"/>
      <c r="T79" s="447" t="e">
        <f>S89</f>
        <v>#REF!</v>
      </c>
      <c r="U79" s="611" t="s">
        <v>428</v>
      </c>
      <c r="V79" s="27"/>
    </row>
    <row r="80" spans="2:22" s="213" customFormat="1" ht="15" hidden="1" customHeight="1" x14ac:dyDescent="0.2">
      <c r="B80" s="278" t="s">
        <v>445</v>
      </c>
      <c r="C80" s="278" t="s">
        <v>445</v>
      </c>
      <c r="D80" s="278" t="s">
        <v>445</v>
      </c>
      <c r="E80" s="278"/>
      <c r="F80" s="278"/>
      <c r="G80" s="278" t="s">
        <v>445</v>
      </c>
      <c r="H80" s="278" t="s">
        <v>445</v>
      </c>
      <c r="I80" s="208"/>
      <c r="J80" s="208"/>
      <c r="K80" s="208"/>
      <c r="L80" s="208"/>
      <c r="M80" s="208"/>
      <c r="N80" s="208"/>
      <c r="O80" s="208"/>
      <c r="P80" s="208"/>
      <c r="Q80" s="782"/>
      <c r="R80" s="782"/>
      <c r="S80" s="782"/>
      <c r="T80" s="782"/>
      <c r="U80" s="782"/>
      <c r="V80" s="782"/>
    </row>
    <row r="81" spans="2:22" s="213" customFormat="1" ht="15" hidden="1" customHeight="1" x14ac:dyDescent="0.2">
      <c r="B81" s="612">
        <f>(0.1678+12.582*K11-0.0006*K11^2) *0.15</f>
        <v>7186.5251700000017</v>
      </c>
      <c r="C81" s="274">
        <f>B81*0.22</f>
        <v>1581.0355374000003</v>
      </c>
      <c r="D81" s="612">
        <f>B81*0.26</f>
        <v>1868.4965442000005</v>
      </c>
      <c r="E81" s="612"/>
      <c r="F81" s="612"/>
      <c r="G81" s="612">
        <f>B81*0.36</f>
        <v>2587.1490612000007</v>
      </c>
      <c r="H81" s="612">
        <f>B81*0.16</f>
        <v>1149.8440272000003</v>
      </c>
      <c r="I81" s="612"/>
      <c r="J81" s="612"/>
      <c r="K81" s="612"/>
      <c r="L81" s="612"/>
      <c r="M81" s="612"/>
      <c r="N81" s="612"/>
      <c r="O81" s="612"/>
      <c r="P81" s="612"/>
      <c r="Q81" s="610" t="s">
        <v>432</v>
      </c>
      <c r="R81" s="610"/>
      <c r="S81" s="611"/>
      <c r="T81" s="447">
        <f>C94</f>
        <v>67.594700000000003</v>
      </c>
      <c r="U81" s="611" t="s">
        <v>433</v>
      </c>
      <c r="V81" s="27"/>
    </row>
    <row r="82" spans="2:22" s="213" customFormat="1" ht="15" hidden="1" customHeight="1" x14ac:dyDescent="0.2">
      <c r="B82" s="613"/>
      <c r="C82" s="613"/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3"/>
      <c r="O82" s="613"/>
      <c r="P82" s="613"/>
      <c r="Q82" s="772"/>
      <c r="R82" s="772"/>
      <c r="S82" s="772"/>
      <c r="T82" s="772"/>
      <c r="U82" s="772"/>
      <c r="V82" s="772"/>
    </row>
    <row r="83" spans="2:22" s="213" customFormat="1" ht="15" hidden="1" customHeight="1" x14ac:dyDescent="0.2">
      <c r="B83" s="278" t="s">
        <v>446</v>
      </c>
      <c r="C83" s="278" t="s">
        <v>447</v>
      </c>
      <c r="D83" s="278" t="s">
        <v>448</v>
      </c>
      <c r="E83" s="278"/>
      <c r="F83" s="278"/>
      <c r="G83" s="278" t="s">
        <v>449</v>
      </c>
      <c r="H83" s="230" t="s">
        <v>450</v>
      </c>
      <c r="I83" s="230"/>
      <c r="J83" s="230"/>
      <c r="K83" s="230"/>
      <c r="L83" s="230"/>
      <c r="M83" s="230"/>
      <c r="N83" s="230"/>
      <c r="O83" s="230"/>
      <c r="P83" s="230"/>
      <c r="Q83" s="610" t="s">
        <v>436</v>
      </c>
      <c r="R83" s="610"/>
      <c r="S83" s="610"/>
      <c r="T83" s="447" t="e">
        <f>B98</f>
        <v>#REF!</v>
      </c>
      <c r="U83" s="611" t="s">
        <v>437</v>
      </c>
      <c r="V83" s="27"/>
    </row>
    <row r="84" spans="2:22" s="213" customFormat="1" ht="15" hidden="1" customHeight="1" x14ac:dyDescent="0.2">
      <c r="B84" s="278" t="s">
        <v>445</v>
      </c>
      <c r="C84" s="278" t="s">
        <v>445</v>
      </c>
      <c r="D84" s="278" t="s">
        <v>445</v>
      </c>
      <c r="E84" s="278"/>
      <c r="F84" s="278"/>
      <c r="G84" s="278" t="s">
        <v>445</v>
      </c>
      <c r="H84" s="278" t="s">
        <v>445</v>
      </c>
      <c r="I84" s="208"/>
      <c r="J84" s="208"/>
      <c r="K84" s="208"/>
      <c r="L84" s="208"/>
      <c r="M84" s="208"/>
      <c r="N84" s="208"/>
      <c r="O84" s="208"/>
      <c r="P84" s="208"/>
      <c r="Q84" s="772"/>
      <c r="R84" s="772"/>
      <c r="S84" s="772"/>
      <c r="T84" s="772"/>
      <c r="U84" s="772"/>
      <c r="V84" s="772"/>
    </row>
    <row r="85" spans="2:22" s="213" customFormat="1" ht="15" hidden="1" customHeight="1" x14ac:dyDescent="0.2">
      <c r="B85" s="612">
        <f>C81*0.03</f>
        <v>47.431066122000004</v>
      </c>
      <c r="C85" s="612">
        <f>D81*0.0137</f>
        <v>25.598402655540006</v>
      </c>
      <c r="D85" s="612">
        <f>G81*0.0122</f>
        <v>31.563218546640009</v>
      </c>
      <c r="E85" s="612"/>
      <c r="F85" s="612"/>
      <c r="G85" s="612">
        <f>H81*0.0147</f>
        <v>16.902707199840002</v>
      </c>
      <c r="H85" s="561">
        <f>B85+C85+D85+G85</f>
        <v>121.49539452402001</v>
      </c>
      <c r="I85" s="561"/>
      <c r="J85" s="561"/>
      <c r="K85" s="561"/>
      <c r="L85" s="561"/>
      <c r="M85" s="561"/>
      <c r="N85" s="561"/>
      <c r="O85" s="561"/>
      <c r="P85" s="561"/>
      <c r="Q85" s="610" t="s">
        <v>438</v>
      </c>
      <c r="R85" s="610"/>
      <c r="S85" s="610"/>
      <c r="T85" s="447" t="e">
        <f>C102</f>
        <v>#REF!</v>
      </c>
      <c r="U85" s="611" t="s">
        <v>437</v>
      </c>
      <c r="V85" s="27"/>
    </row>
    <row r="86" spans="2:22" s="213" customFormat="1" ht="15" hidden="1" customHeight="1" x14ac:dyDescent="0.2">
      <c r="B86" s="608"/>
      <c r="C86" s="608"/>
      <c r="D86" s="266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5"/>
    </row>
    <row r="87" spans="2:22" s="213" customFormat="1" ht="15" hidden="1" customHeight="1" x14ac:dyDescent="0.2">
      <c r="B87" s="230" t="s">
        <v>451</v>
      </c>
      <c r="C87" s="230" t="s">
        <v>452</v>
      </c>
      <c r="D87" s="230" t="s">
        <v>453</v>
      </c>
      <c r="E87" s="230"/>
      <c r="F87" s="230"/>
      <c r="G87" s="230" t="s">
        <v>454</v>
      </c>
      <c r="H87" s="230" t="s">
        <v>455</v>
      </c>
      <c r="I87" s="230"/>
      <c r="J87" s="230"/>
      <c r="K87" s="230"/>
      <c r="L87" s="230"/>
      <c r="M87" s="230"/>
      <c r="N87" s="230"/>
      <c r="O87" s="230"/>
      <c r="P87" s="230"/>
      <c r="Q87" s="230" t="s">
        <v>456</v>
      </c>
      <c r="R87" s="230"/>
      <c r="S87" s="614" t="s">
        <v>457</v>
      </c>
    </row>
    <row r="88" spans="2:22" s="213" customFormat="1" ht="15" hidden="1" customHeight="1" x14ac:dyDescent="0.2">
      <c r="B88" s="230" t="s">
        <v>445</v>
      </c>
      <c r="C88" s="230" t="s">
        <v>445</v>
      </c>
      <c r="D88" s="230" t="s">
        <v>445</v>
      </c>
      <c r="E88" s="230"/>
      <c r="F88" s="230"/>
      <c r="G88" s="230" t="s">
        <v>445</v>
      </c>
      <c r="H88" s="230" t="s">
        <v>445</v>
      </c>
      <c r="I88" s="230"/>
      <c r="J88" s="230"/>
      <c r="K88" s="230"/>
      <c r="L88" s="230"/>
      <c r="M88" s="230"/>
      <c r="N88" s="230"/>
      <c r="O88" s="230"/>
      <c r="P88" s="230"/>
      <c r="Q88" s="230" t="s">
        <v>445</v>
      </c>
      <c r="R88" s="230"/>
      <c r="S88" s="230" t="s">
        <v>445</v>
      </c>
    </row>
    <row r="89" spans="2:22" s="213" customFormat="1" ht="15" hidden="1" customHeight="1" x14ac:dyDescent="0.2">
      <c r="B89" s="230" t="e">
        <f>#REF!*60</f>
        <v>#REF!</v>
      </c>
      <c r="C89" s="230" t="e">
        <f>(#REF!)*52.8</f>
        <v>#REF!</v>
      </c>
      <c r="D89" s="230" t="e">
        <f>(#REF!+B77)*42.2</f>
        <v>#REF!</v>
      </c>
      <c r="E89" s="230"/>
      <c r="F89" s="230"/>
      <c r="G89" s="230" t="e">
        <f>C89*0.0244</f>
        <v>#REF!</v>
      </c>
      <c r="H89" s="615" t="e">
        <f>D89*0.018</f>
        <v>#REF!</v>
      </c>
      <c r="I89" s="615"/>
      <c r="J89" s="615"/>
      <c r="K89" s="615"/>
      <c r="L89" s="615"/>
      <c r="M89" s="615"/>
      <c r="N89" s="615"/>
      <c r="O89" s="615"/>
      <c r="P89" s="615"/>
      <c r="Q89" s="612" t="e">
        <f>G89+H89</f>
        <v>#REF!</v>
      </c>
      <c r="R89" s="612"/>
      <c r="S89" s="616" t="e">
        <f>H85+Q89</f>
        <v>#REF!</v>
      </c>
    </row>
    <row r="90" spans="2:22" s="213" customFormat="1" ht="15" hidden="1" customHeight="1" x14ac:dyDescent="0.2"/>
    <row r="91" spans="2:22" ht="15" hidden="1" customHeight="1" x14ac:dyDescent="0.2">
      <c r="B91" s="786" t="s">
        <v>850</v>
      </c>
      <c r="C91" s="786"/>
      <c r="D91" s="786"/>
      <c r="E91" s="786"/>
      <c r="F91" s="786"/>
      <c r="G91" s="786"/>
      <c r="H91" s="265"/>
      <c r="I91" s="265"/>
      <c r="J91" s="265"/>
      <c r="K91" s="265"/>
      <c r="L91" s="265"/>
      <c r="M91" s="265"/>
      <c r="N91" s="265"/>
      <c r="O91" s="265"/>
      <c r="P91" s="265"/>
    </row>
    <row r="92" spans="2:22" ht="15" hidden="1" customHeight="1" x14ac:dyDescent="0.2">
      <c r="B92" s="230" t="s">
        <v>851</v>
      </c>
      <c r="C92" s="230" t="s">
        <v>851</v>
      </c>
      <c r="D92" s="265"/>
      <c r="E92" s="265"/>
      <c r="F92" s="265"/>
      <c r="H92" s="265"/>
      <c r="I92" s="265"/>
      <c r="J92" s="265"/>
      <c r="K92" s="265"/>
      <c r="L92" s="265"/>
      <c r="M92" s="265"/>
      <c r="N92" s="265"/>
      <c r="O92" s="265"/>
      <c r="P92" s="265"/>
    </row>
    <row r="93" spans="2:22" ht="15" hidden="1" customHeight="1" x14ac:dyDescent="0.2">
      <c r="B93" s="230" t="s">
        <v>435</v>
      </c>
      <c r="C93" s="230" t="s">
        <v>435</v>
      </c>
      <c r="H93" s="617"/>
      <c r="I93" s="617"/>
      <c r="J93" s="617"/>
      <c r="K93" s="617"/>
      <c r="L93" s="617"/>
      <c r="M93" s="617"/>
      <c r="N93" s="617"/>
      <c r="O93" s="617"/>
      <c r="P93" s="617"/>
    </row>
    <row r="94" spans="2:22" ht="15" hidden="1" customHeight="1" x14ac:dyDescent="0.2">
      <c r="B94" s="618">
        <f>((47.778+0.0022*K11)/100)*1.15</f>
        <v>0.67594699999999996</v>
      </c>
      <c r="C94" s="265">
        <f>B94*100</f>
        <v>67.594700000000003</v>
      </c>
    </row>
    <row r="95" spans="2:22" ht="15" hidden="1" customHeight="1" x14ac:dyDescent="0.2">
      <c r="B95" s="265"/>
      <c r="C95" s="265"/>
      <c r="D95" s="265"/>
      <c r="E95" s="265"/>
      <c r="F95" s="265"/>
      <c r="H95" s="265"/>
      <c r="I95" s="265"/>
      <c r="J95" s="265"/>
      <c r="K95" s="265"/>
      <c r="L95" s="265"/>
      <c r="M95" s="265"/>
      <c r="N95" s="265"/>
      <c r="O95" s="265"/>
      <c r="P95" s="265"/>
      <c r="Q95" s="263"/>
      <c r="R95" s="263"/>
      <c r="S95" s="263"/>
      <c r="T95" s="265"/>
    </row>
    <row r="96" spans="2:22" ht="15" hidden="1" customHeight="1" x14ac:dyDescent="0.2">
      <c r="B96" s="786" t="s">
        <v>962</v>
      </c>
      <c r="C96" s="786"/>
      <c r="D96" s="786"/>
      <c r="E96" s="786"/>
      <c r="F96" s="786"/>
      <c r="G96" s="786"/>
      <c r="H96" s="209"/>
      <c r="I96" s="209"/>
      <c r="J96" s="209"/>
      <c r="K96" s="209"/>
      <c r="L96" s="209"/>
      <c r="M96" s="209"/>
      <c r="N96" s="209"/>
      <c r="O96" s="209"/>
      <c r="P96" s="209"/>
      <c r="S96" s="265"/>
      <c r="T96" s="265"/>
    </row>
    <row r="97" spans="2:21" ht="15" hidden="1" customHeight="1" x14ac:dyDescent="0.2">
      <c r="B97" s="230" t="s">
        <v>963</v>
      </c>
      <c r="C97" s="265"/>
      <c r="D97" s="265"/>
      <c r="E97" s="265"/>
      <c r="F97" s="265"/>
      <c r="S97" s="265"/>
      <c r="T97" s="265"/>
    </row>
    <row r="98" spans="2:21" ht="15" hidden="1" customHeight="1" x14ac:dyDescent="0.2">
      <c r="B98" s="618" t="e">
        <f>S89/B94</f>
        <v>#REF!</v>
      </c>
      <c r="C98" s="265"/>
      <c r="D98" s="265"/>
      <c r="E98" s="265"/>
      <c r="F98" s="265"/>
      <c r="H98" s="265"/>
      <c r="I98" s="265"/>
      <c r="J98" s="265"/>
      <c r="K98" s="265"/>
      <c r="L98" s="265"/>
      <c r="M98" s="265"/>
      <c r="N98" s="265"/>
      <c r="O98" s="265"/>
      <c r="P98" s="265"/>
    </row>
    <row r="99" spans="2:21" ht="15" hidden="1" customHeight="1" x14ac:dyDescent="0.2">
      <c r="B99" s="619"/>
      <c r="C99" s="265"/>
      <c r="D99" s="265"/>
      <c r="E99" s="265"/>
      <c r="F99" s="265"/>
      <c r="H99" s="617"/>
      <c r="I99" s="617"/>
      <c r="J99" s="617"/>
      <c r="K99" s="617"/>
      <c r="L99" s="617"/>
      <c r="M99" s="617"/>
      <c r="N99" s="617"/>
      <c r="O99" s="617"/>
      <c r="P99" s="617"/>
    </row>
    <row r="100" spans="2:21" ht="15" hidden="1" customHeight="1" x14ac:dyDescent="0.2">
      <c r="B100" s="608" t="s">
        <v>964</v>
      </c>
      <c r="C100" s="608"/>
    </row>
    <row r="101" spans="2:21" ht="15" hidden="1" customHeight="1" x14ac:dyDescent="0.2">
      <c r="B101" s="230" t="s">
        <v>965</v>
      </c>
      <c r="C101" s="265" t="s">
        <v>966</v>
      </c>
      <c r="H101" s="265"/>
      <c r="I101" s="265"/>
      <c r="J101" s="265"/>
      <c r="K101" s="265"/>
      <c r="L101" s="265"/>
      <c r="M101" s="265"/>
      <c r="N101" s="265"/>
      <c r="O101" s="265"/>
      <c r="P101" s="265"/>
    </row>
    <row r="102" spans="2:21" ht="15" hidden="1" customHeight="1" x14ac:dyDescent="0.2">
      <c r="B102" s="230" t="e">
        <f xml:space="preserve"> (2000000*((#REF!)/100/20)*0.0148)*2.74</f>
        <v>#REF!</v>
      </c>
      <c r="C102" s="618" t="e">
        <f>(B102)*0.3</f>
        <v>#REF!</v>
      </c>
    </row>
    <row r="103" spans="2:21" ht="15" hidden="1" customHeight="1" x14ac:dyDescent="0.2">
      <c r="B103" s="265"/>
      <c r="C103" s="265"/>
      <c r="D103" s="265"/>
      <c r="E103" s="265"/>
      <c r="F103" s="265"/>
    </row>
    <row r="104" spans="2:21" ht="15" hidden="1" customHeight="1" x14ac:dyDescent="0.2">
      <c r="B104" s="608" t="s">
        <v>967</v>
      </c>
      <c r="C104" s="608"/>
      <c r="D104" s="608"/>
      <c r="E104" s="608"/>
      <c r="F104" s="608"/>
    </row>
    <row r="105" spans="2:21" ht="15" hidden="1" customHeight="1" x14ac:dyDescent="0.2">
      <c r="B105" s="620" t="s">
        <v>445</v>
      </c>
      <c r="C105" s="772"/>
      <c r="D105" s="772"/>
      <c r="E105" s="263"/>
      <c r="F105" s="263"/>
      <c r="S105" s="265"/>
      <c r="T105" s="265"/>
    </row>
    <row r="106" spans="2:21" ht="15" hidden="1" customHeight="1" x14ac:dyDescent="0.2">
      <c r="B106" s="621" t="e">
        <f>B98-C102</f>
        <v>#REF!</v>
      </c>
      <c r="C106" s="787"/>
      <c r="D106" s="787"/>
      <c r="E106" s="619"/>
      <c r="F106" s="619"/>
      <c r="S106" s="265"/>
      <c r="T106" s="265"/>
    </row>
    <row r="107" spans="2:21" ht="15" hidden="1" customHeight="1" x14ac:dyDescent="0.2">
      <c r="S107" s="265"/>
      <c r="T107" s="265"/>
    </row>
    <row r="108" spans="2:21" ht="15" hidden="1" customHeight="1" x14ac:dyDescent="0.2">
      <c r="S108" s="265"/>
      <c r="T108" s="265"/>
    </row>
    <row r="109" spans="2:21" ht="15" hidden="1" customHeight="1" x14ac:dyDescent="0.2">
      <c r="S109" s="265"/>
      <c r="T109" s="265"/>
    </row>
    <row r="110" spans="2:21" ht="15" hidden="1" customHeight="1" x14ac:dyDescent="0.2">
      <c r="B110" s="783"/>
      <c r="C110" s="783"/>
    </row>
    <row r="111" spans="2:21" ht="15" hidden="1" customHeight="1" x14ac:dyDescent="0.2">
      <c r="B111" s="257" t="s">
        <v>972</v>
      </c>
      <c r="Q111" s="610" t="s">
        <v>978</v>
      </c>
      <c r="R111" s="610"/>
      <c r="S111" s="611"/>
      <c r="T111" s="561" t="e">
        <f>Q125</f>
        <v>#REF!</v>
      </c>
      <c r="U111" s="611" t="s">
        <v>979</v>
      </c>
    </row>
    <row r="112" spans="2:21" ht="15" hidden="1" customHeight="1" x14ac:dyDescent="0.2">
      <c r="B112" s="263"/>
      <c r="Q112" s="622"/>
      <c r="R112" s="622"/>
      <c r="S112" s="230"/>
      <c r="T112" s="230"/>
      <c r="U112" s="230"/>
    </row>
    <row r="113" spans="2:22" ht="15" hidden="1" customHeight="1" x14ac:dyDescent="0.2">
      <c r="B113" s="608" t="s">
        <v>981</v>
      </c>
      <c r="C113" s="608"/>
      <c r="Q113" s="610" t="s">
        <v>980</v>
      </c>
      <c r="R113" s="623"/>
      <c r="S113" s="265"/>
      <c r="T113" s="624" t="e">
        <f>B130</f>
        <v>#REF!</v>
      </c>
      <c r="U113" s="611" t="s">
        <v>433</v>
      </c>
    </row>
    <row r="114" spans="2:22" ht="15" hidden="1" customHeight="1" x14ac:dyDescent="0.2">
      <c r="B114" s="608"/>
      <c r="C114" s="608"/>
      <c r="Q114" s="230"/>
      <c r="R114" s="230"/>
      <c r="S114" s="230"/>
      <c r="T114" s="611"/>
      <c r="U114" s="611"/>
    </row>
    <row r="115" spans="2:22" ht="15" hidden="1" customHeight="1" x14ac:dyDescent="0.2">
      <c r="B115" s="278" t="s">
        <v>440</v>
      </c>
      <c r="C115" s="278" t="s">
        <v>441</v>
      </c>
      <c r="D115" s="278" t="s">
        <v>442</v>
      </c>
      <c r="E115" s="278"/>
      <c r="F115" s="278"/>
      <c r="G115" s="278" t="s">
        <v>443</v>
      </c>
      <c r="H115" s="278" t="s">
        <v>444</v>
      </c>
      <c r="I115" s="278"/>
      <c r="J115" s="278"/>
      <c r="K115" s="278"/>
      <c r="L115" s="278"/>
      <c r="M115" s="278"/>
      <c r="N115" s="278"/>
      <c r="O115" s="278"/>
      <c r="P115" s="278"/>
      <c r="Q115" s="610" t="s">
        <v>982</v>
      </c>
      <c r="R115" s="610"/>
      <c r="S115" s="610"/>
      <c r="T115" s="561" t="e">
        <f>B134</f>
        <v>#REF!</v>
      </c>
      <c r="U115" s="611" t="s">
        <v>979</v>
      </c>
    </row>
    <row r="116" spans="2:22" ht="15" hidden="1" customHeight="1" x14ac:dyDescent="0.2">
      <c r="B116" s="278" t="s">
        <v>445</v>
      </c>
      <c r="C116" s="278" t="s">
        <v>445</v>
      </c>
      <c r="D116" s="278" t="s">
        <v>445</v>
      </c>
      <c r="E116" s="278"/>
      <c r="F116" s="278"/>
      <c r="G116" s="278" t="s">
        <v>445</v>
      </c>
      <c r="H116" s="278" t="s">
        <v>445</v>
      </c>
      <c r="I116" s="625"/>
      <c r="J116" s="625"/>
      <c r="K116" s="625"/>
      <c r="L116" s="625"/>
      <c r="M116" s="625"/>
      <c r="N116" s="625"/>
      <c r="O116" s="625"/>
      <c r="P116" s="625"/>
      <c r="Q116" s="229"/>
      <c r="R116" s="427"/>
      <c r="S116" s="427"/>
      <c r="T116" s="427"/>
      <c r="U116" s="606"/>
    </row>
    <row r="117" spans="2:22" ht="15" hidden="1" customHeight="1" x14ac:dyDescent="0.2">
      <c r="B117" s="612">
        <f>(0.1678+12.582*B76-0.0006*B76^2) *0.15</f>
        <v>7186.5251700000017</v>
      </c>
      <c r="C117" s="612">
        <f>B117*0.22</f>
        <v>1581.0355374000003</v>
      </c>
      <c r="D117" s="612">
        <f>B117*0.26</f>
        <v>1868.4965442000005</v>
      </c>
      <c r="E117" s="612"/>
      <c r="F117" s="612"/>
      <c r="G117" s="612">
        <f>B117*0.36</f>
        <v>2587.1490612000007</v>
      </c>
      <c r="H117" s="612">
        <f>B117*0.16</f>
        <v>1149.8440272000003</v>
      </c>
      <c r="I117" s="612"/>
      <c r="J117" s="612"/>
      <c r="K117" s="612"/>
      <c r="L117" s="612"/>
      <c r="M117" s="612"/>
      <c r="N117" s="612"/>
      <c r="O117" s="612"/>
      <c r="P117" s="612"/>
      <c r="Q117" s="610" t="s">
        <v>983</v>
      </c>
      <c r="R117" s="610"/>
      <c r="S117" s="610"/>
      <c r="T117" s="561" t="e">
        <f>B139</f>
        <v>#REF!</v>
      </c>
      <c r="U117" s="626" t="s">
        <v>984</v>
      </c>
    </row>
    <row r="118" spans="2:22" ht="15" hidden="1" customHeight="1" x14ac:dyDescent="0.2">
      <c r="B118" s="613"/>
      <c r="C118" s="613"/>
      <c r="D118" s="613"/>
      <c r="E118" s="613"/>
      <c r="F118" s="613"/>
      <c r="G118" s="613"/>
      <c r="H118" s="613"/>
      <c r="I118" s="613"/>
      <c r="J118" s="613"/>
      <c r="K118" s="613"/>
      <c r="L118" s="613"/>
      <c r="M118" s="613"/>
      <c r="N118" s="613"/>
      <c r="O118" s="613"/>
      <c r="P118" s="613"/>
      <c r="Q118" s="229"/>
      <c r="R118" s="427"/>
      <c r="S118" s="427"/>
      <c r="T118" s="427"/>
      <c r="U118" s="606"/>
    </row>
    <row r="119" spans="2:22" ht="15" hidden="1" customHeight="1" x14ac:dyDescent="0.2">
      <c r="B119" s="278" t="s">
        <v>986</v>
      </c>
      <c r="C119" s="278" t="s">
        <v>987</v>
      </c>
      <c r="D119" s="278" t="s">
        <v>988</v>
      </c>
      <c r="E119" s="278"/>
      <c r="F119" s="278"/>
      <c r="G119" s="278" t="s">
        <v>989</v>
      </c>
      <c r="H119" s="231" t="s">
        <v>990</v>
      </c>
      <c r="I119" s="627"/>
      <c r="J119" s="627"/>
      <c r="K119" s="627"/>
      <c r="L119" s="627"/>
      <c r="M119" s="627"/>
      <c r="N119" s="627"/>
      <c r="O119" s="627"/>
      <c r="P119" s="627"/>
      <c r="Q119" s="628" t="s">
        <v>985</v>
      </c>
      <c r="R119" s="629"/>
      <c r="S119" s="630"/>
      <c r="T119" s="561" t="e">
        <f>B148</f>
        <v>#REF!</v>
      </c>
      <c r="U119" s="611" t="s">
        <v>979</v>
      </c>
    </row>
    <row r="120" spans="2:22" ht="15" hidden="1" customHeight="1" x14ac:dyDescent="0.2">
      <c r="B120" s="278" t="s">
        <v>445</v>
      </c>
      <c r="C120" s="278" t="s">
        <v>445</v>
      </c>
      <c r="D120" s="278" t="s">
        <v>445</v>
      </c>
      <c r="E120" s="278"/>
      <c r="F120" s="278"/>
      <c r="G120" s="278" t="s">
        <v>445</v>
      </c>
      <c r="H120" s="278" t="s">
        <v>445</v>
      </c>
      <c r="I120" s="625"/>
      <c r="J120" s="625"/>
      <c r="K120" s="625"/>
      <c r="L120" s="625"/>
      <c r="M120" s="625"/>
      <c r="N120" s="625"/>
      <c r="O120" s="625"/>
      <c r="P120" s="625"/>
      <c r="Q120" s="229"/>
      <c r="R120" s="427"/>
      <c r="S120" s="427"/>
      <c r="T120" s="427"/>
      <c r="U120" s="606"/>
    </row>
    <row r="121" spans="2:22" ht="15" hidden="1" customHeight="1" x14ac:dyDescent="0.2">
      <c r="B121" s="612" t="e">
        <f>C117*(0.156+0.0008*#REF!)/100</f>
        <v>#REF!</v>
      </c>
      <c r="C121" s="612">
        <f>D117*0.0011</f>
        <v>2.0553461986200006</v>
      </c>
      <c r="D121" s="612">
        <f>G117*0.001</f>
        <v>2.5871490612000008</v>
      </c>
      <c r="E121" s="612"/>
      <c r="F121" s="612"/>
      <c r="G121" s="612">
        <f>H117*0.001</f>
        <v>1.1498440272000003</v>
      </c>
      <c r="H121" s="631" t="e">
        <f>B121+C121+D121+G121</f>
        <v>#REF!</v>
      </c>
      <c r="I121" s="632"/>
      <c r="J121" s="632"/>
      <c r="K121" s="632"/>
      <c r="L121" s="632"/>
      <c r="M121" s="632"/>
      <c r="N121" s="632"/>
      <c r="O121" s="632"/>
      <c r="P121" s="632"/>
      <c r="Q121" s="628" t="s">
        <v>991</v>
      </c>
      <c r="R121" s="629"/>
      <c r="S121" s="630"/>
      <c r="T121" s="561" t="e">
        <f>B156</f>
        <v>#REF!</v>
      </c>
      <c r="U121" s="230" t="s">
        <v>992</v>
      </c>
    </row>
    <row r="122" spans="2:22" ht="15" hidden="1" customHeight="1" x14ac:dyDescent="0.2">
      <c r="B122" s="608"/>
      <c r="C122" s="608"/>
      <c r="Q122" s="229"/>
      <c r="R122" s="427"/>
      <c r="S122" s="427"/>
      <c r="T122" s="427"/>
      <c r="U122" s="606"/>
    </row>
    <row r="123" spans="2:22" ht="15" hidden="1" customHeight="1" x14ac:dyDescent="0.2">
      <c r="B123" s="230" t="s">
        <v>451</v>
      </c>
      <c r="C123" s="230" t="s">
        <v>452</v>
      </c>
      <c r="D123" s="230" t="s">
        <v>453</v>
      </c>
      <c r="E123" s="230"/>
      <c r="F123" s="230"/>
      <c r="G123" s="230" t="s">
        <v>993</v>
      </c>
      <c r="H123" s="230" t="s">
        <v>994</v>
      </c>
      <c r="I123" s="230"/>
      <c r="J123" s="230"/>
      <c r="K123" s="230"/>
      <c r="L123" s="230"/>
      <c r="M123" s="230"/>
      <c r="N123" s="230"/>
      <c r="O123" s="230"/>
      <c r="P123" s="230"/>
      <c r="Q123" s="230" t="s">
        <v>995</v>
      </c>
      <c r="R123" s="230"/>
      <c r="S123" s="230" t="s">
        <v>996</v>
      </c>
      <c r="U123" s="265"/>
      <c r="V123" s="265"/>
    </row>
    <row r="124" spans="2:22" ht="15" hidden="1" customHeight="1" x14ac:dyDescent="0.2">
      <c r="B124" s="230" t="s">
        <v>445</v>
      </c>
      <c r="C124" s="230" t="s">
        <v>445</v>
      </c>
      <c r="D124" s="230" t="s">
        <v>445</v>
      </c>
      <c r="E124" s="230"/>
      <c r="F124" s="230"/>
      <c r="G124" s="230" t="s">
        <v>445</v>
      </c>
      <c r="H124" s="230" t="s">
        <v>445</v>
      </c>
      <c r="I124" s="230"/>
      <c r="J124" s="230"/>
      <c r="K124" s="230"/>
      <c r="L124" s="230"/>
      <c r="M124" s="230"/>
      <c r="N124" s="230"/>
      <c r="O124" s="230"/>
      <c r="P124" s="230"/>
      <c r="Q124" s="230" t="s">
        <v>445</v>
      </c>
      <c r="R124" s="230"/>
      <c r="S124" s="230" t="s">
        <v>445</v>
      </c>
      <c r="U124" s="265"/>
      <c r="V124" s="265"/>
    </row>
    <row r="125" spans="2:22" ht="15" hidden="1" customHeight="1" x14ac:dyDescent="0.2">
      <c r="B125" s="230" t="e">
        <f>C76*60</f>
        <v>#REF!</v>
      </c>
      <c r="C125" s="230" t="e">
        <f>(C76)*52.8</f>
        <v>#REF!</v>
      </c>
      <c r="D125" s="230" t="e">
        <f>(C76+B110)*42.24</f>
        <v>#REF!</v>
      </c>
      <c r="E125" s="230"/>
      <c r="F125" s="230"/>
      <c r="G125" s="230" t="e">
        <f>C125*(0.185+0.001*#REF!)/100</f>
        <v>#REF!</v>
      </c>
      <c r="H125" s="615" t="e">
        <f>D125*(0.156+0.0008*#REF!)/100</f>
        <v>#REF!</v>
      </c>
      <c r="I125" s="615"/>
      <c r="J125" s="615"/>
      <c r="K125" s="615"/>
      <c r="L125" s="615"/>
      <c r="M125" s="615"/>
      <c r="N125" s="615"/>
      <c r="O125" s="615"/>
      <c r="P125" s="615"/>
      <c r="Q125" s="612" t="e">
        <f>G125+H125</f>
        <v>#REF!</v>
      </c>
      <c r="R125" s="612"/>
      <c r="S125" s="616" t="e">
        <f>H121+Q125</f>
        <v>#REF!</v>
      </c>
      <c r="U125" s="265"/>
      <c r="V125" s="265"/>
    </row>
    <row r="126" spans="2:22" ht="15" hidden="1" customHeight="1" x14ac:dyDescent="0.2">
      <c r="B126" s="265"/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U126" s="265"/>
      <c r="V126" s="265"/>
    </row>
    <row r="127" spans="2:22" ht="15" hidden="1" customHeight="1" x14ac:dyDescent="0.2">
      <c r="B127" s="786" t="s">
        <v>997</v>
      </c>
      <c r="C127" s="786"/>
      <c r="D127" s="786"/>
      <c r="E127" s="786"/>
      <c r="F127" s="786"/>
      <c r="G127" s="786"/>
      <c r="H127" s="633"/>
      <c r="I127" s="633"/>
      <c r="J127" s="633"/>
      <c r="K127" s="633"/>
      <c r="L127" s="633"/>
      <c r="M127" s="633"/>
      <c r="N127" s="633"/>
      <c r="O127" s="633"/>
      <c r="P127" s="633"/>
      <c r="Q127" s="265"/>
      <c r="R127" s="265"/>
      <c r="S127" s="265"/>
      <c r="U127" s="265"/>
      <c r="V127" s="265"/>
    </row>
    <row r="128" spans="2:22" ht="15" hidden="1" customHeight="1" x14ac:dyDescent="0.2">
      <c r="B128" s="230" t="s">
        <v>851</v>
      </c>
      <c r="C128" s="265"/>
      <c r="D128" s="265"/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U128" s="265"/>
      <c r="V128" s="265"/>
    </row>
    <row r="129" spans="2:22" ht="15" hidden="1" customHeight="1" x14ac:dyDescent="0.2">
      <c r="B129" s="230" t="s">
        <v>435</v>
      </c>
      <c r="C129" s="265"/>
      <c r="S129" s="265"/>
      <c r="U129" s="265"/>
      <c r="V129" s="265"/>
    </row>
    <row r="130" spans="2:22" ht="15" hidden="1" customHeight="1" x14ac:dyDescent="0.2">
      <c r="B130" s="634" t="e">
        <f>13.066+0.001686*B76+0.3886*#REF!</f>
        <v>#REF!</v>
      </c>
      <c r="C130" s="265"/>
      <c r="S130" s="265"/>
      <c r="U130" s="265"/>
      <c r="V130" s="265"/>
    </row>
    <row r="131" spans="2:22" ht="15" hidden="1" customHeight="1" x14ac:dyDescent="0.2">
      <c r="B131" s="265"/>
      <c r="C131" s="265"/>
      <c r="D131" s="265"/>
      <c r="E131" s="265"/>
      <c r="F131" s="265"/>
      <c r="S131" s="265"/>
      <c r="U131" s="265"/>
      <c r="V131" s="265"/>
    </row>
    <row r="132" spans="2:22" ht="15" hidden="1" customHeight="1" x14ac:dyDescent="0.2">
      <c r="B132" s="786" t="s">
        <v>998</v>
      </c>
      <c r="C132" s="786"/>
      <c r="D132" s="786"/>
      <c r="E132" s="786"/>
      <c r="F132" s="786"/>
      <c r="G132" s="786"/>
      <c r="H132" s="633"/>
      <c r="I132" s="633"/>
      <c r="J132" s="633"/>
      <c r="K132" s="633"/>
      <c r="L132" s="633"/>
      <c r="M132" s="633"/>
      <c r="N132" s="633"/>
      <c r="O132" s="633"/>
      <c r="P132" s="633"/>
      <c r="S132" s="265"/>
      <c r="U132" s="265"/>
      <c r="V132" s="265"/>
    </row>
    <row r="133" spans="2:22" ht="15" hidden="1" customHeight="1" x14ac:dyDescent="0.2">
      <c r="B133" s="230" t="s">
        <v>999</v>
      </c>
      <c r="C133" s="265"/>
      <c r="D133" s="265"/>
      <c r="E133" s="265"/>
      <c r="F133" s="265"/>
      <c r="S133" s="265"/>
      <c r="U133" s="265"/>
      <c r="V133" s="265"/>
    </row>
    <row r="134" spans="2:22" ht="15" hidden="1" customHeight="1" x14ac:dyDescent="0.2">
      <c r="B134" s="618" t="e">
        <f>(S125/B130)*100</f>
        <v>#REF!</v>
      </c>
      <c r="C134" s="265"/>
      <c r="D134" s="265"/>
      <c r="E134" s="265"/>
      <c r="F134" s="265"/>
      <c r="S134" s="265"/>
      <c r="U134" s="265"/>
      <c r="V134" s="265"/>
    </row>
    <row r="135" spans="2:22" ht="15" hidden="1" customHeight="1" x14ac:dyDescent="0.2">
      <c r="B135" s="265"/>
      <c r="C135" s="265"/>
      <c r="D135" s="265"/>
      <c r="E135" s="265"/>
      <c r="F135" s="265"/>
      <c r="S135" s="265"/>
      <c r="U135" s="265"/>
      <c r="V135" s="265"/>
    </row>
    <row r="136" spans="2:22" ht="15" hidden="1" customHeight="1" x14ac:dyDescent="0.2">
      <c r="B136" s="608" t="s">
        <v>1000</v>
      </c>
      <c r="C136" s="608"/>
      <c r="D136" s="608"/>
      <c r="E136" s="608"/>
      <c r="F136" s="608"/>
      <c r="S136" s="265"/>
      <c r="U136" s="265"/>
      <c r="V136" s="265"/>
    </row>
    <row r="137" spans="2:22" ht="15" hidden="1" customHeight="1" x14ac:dyDescent="0.2">
      <c r="B137" s="230" t="s">
        <v>1001</v>
      </c>
      <c r="C137" s="265"/>
      <c r="S137" s="265"/>
      <c r="U137" s="265"/>
      <c r="V137" s="265"/>
    </row>
    <row r="138" spans="2:22" ht="15" hidden="1" customHeight="1" x14ac:dyDescent="0.2">
      <c r="B138" s="614" t="s">
        <v>1002</v>
      </c>
      <c r="C138" s="265"/>
      <c r="S138" s="265"/>
      <c r="U138" s="265"/>
      <c r="V138" s="265"/>
    </row>
    <row r="139" spans="2:22" ht="15" hidden="1" customHeight="1" x14ac:dyDescent="0.2">
      <c r="B139" s="618" t="e">
        <f>0.1647-0.0005487*#REF!+0.0002069*#REF!^2</f>
        <v>#REF!</v>
      </c>
      <c r="C139" s="265"/>
      <c r="S139" s="265"/>
      <c r="U139" s="265"/>
      <c r="V139" s="265"/>
    </row>
    <row r="140" spans="2:22" ht="15" hidden="1" customHeight="1" x14ac:dyDescent="0.2">
      <c r="B140" s="619"/>
      <c r="C140" s="265"/>
      <c r="S140" s="265"/>
      <c r="U140" s="265"/>
      <c r="V140" s="265"/>
    </row>
    <row r="141" spans="2:22" ht="15" hidden="1" customHeight="1" x14ac:dyDescent="0.2">
      <c r="B141" s="786" t="s">
        <v>888</v>
      </c>
      <c r="C141" s="786"/>
      <c r="D141" s="786"/>
      <c r="E141" s="786"/>
      <c r="F141" s="786"/>
      <c r="G141" s="786"/>
      <c r="H141" s="786"/>
      <c r="I141" s="633"/>
      <c r="J141" s="633"/>
      <c r="K141" s="633"/>
      <c r="L141" s="633"/>
      <c r="M141" s="633"/>
      <c r="N141" s="633"/>
      <c r="O141" s="633"/>
      <c r="P141" s="633"/>
      <c r="S141" s="265"/>
      <c r="U141" s="265"/>
      <c r="V141" s="265"/>
    </row>
    <row r="142" spans="2:22" ht="15" hidden="1" customHeight="1" x14ac:dyDescent="0.2">
      <c r="B142" s="551" t="s">
        <v>1003</v>
      </c>
      <c r="C142" s="230" t="s">
        <v>999</v>
      </c>
      <c r="S142" s="265"/>
      <c r="U142" s="265"/>
      <c r="V142" s="265"/>
    </row>
    <row r="143" spans="2:22" ht="15" hidden="1" customHeight="1" x14ac:dyDescent="0.2">
      <c r="B143" s="635" t="e">
        <f>G16/B139</f>
        <v>#REF!</v>
      </c>
      <c r="C143" s="618" t="e">
        <f>B143*2</f>
        <v>#REF!</v>
      </c>
      <c r="S143" s="265"/>
      <c r="U143" s="265"/>
      <c r="V143" s="265"/>
    </row>
    <row r="144" spans="2:22" ht="15" hidden="1" customHeight="1" x14ac:dyDescent="0.2">
      <c r="B144" s="265"/>
      <c r="C144" s="265"/>
      <c r="D144" s="265"/>
      <c r="E144" s="265"/>
      <c r="F144" s="265"/>
      <c r="S144" s="265"/>
      <c r="U144" s="265"/>
      <c r="V144" s="265"/>
    </row>
    <row r="145" spans="2:22" ht="15" hidden="1" customHeight="1" x14ac:dyDescent="0.2">
      <c r="B145" s="608" t="s">
        <v>1004</v>
      </c>
      <c r="C145" s="608"/>
      <c r="S145" s="265"/>
      <c r="U145" s="265"/>
      <c r="V145" s="265"/>
    </row>
    <row r="146" spans="2:22" ht="15" hidden="1" customHeight="1" x14ac:dyDescent="0.2">
      <c r="B146" s="230" t="s">
        <v>1005</v>
      </c>
      <c r="C146" s="265"/>
      <c r="S146" s="265"/>
      <c r="U146" s="265"/>
      <c r="V146" s="265"/>
    </row>
    <row r="147" spans="2:22" ht="15" hidden="1" customHeight="1" x14ac:dyDescent="0.2">
      <c r="B147" s="230" t="s">
        <v>1006</v>
      </c>
      <c r="C147" s="265"/>
      <c r="S147" s="265"/>
      <c r="U147" s="265"/>
      <c r="V147" s="265"/>
    </row>
    <row r="148" spans="2:22" ht="15" hidden="1" customHeight="1" x14ac:dyDescent="0.2">
      <c r="B148" s="618" t="e">
        <f>(C143)*0.5</f>
        <v>#REF!</v>
      </c>
      <c r="C148" s="265"/>
      <c r="S148" s="265"/>
      <c r="U148" s="265"/>
      <c r="V148" s="265"/>
    </row>
    <row r="149" spans="2:22" ht="15" hidden="1" customHeight="1" x14ac:dyDescent="0.2">
      <c r="B149" s="265"/>
      <c r="C149" s="265"/>
      <c r="D149" s="265"/>
      <c r="E149" s="265"/>
      <c r="F149" s="265"/>
      <c r="S149" s="265"/>
      <c r="U149" s="265"/>
      <c r="V149" s="265"/>
    </row>
    <row r="150" spans="2:22" ht="15" hidden="1" customHeight="1" x14ac:dyDescent="0.2">
      <c r="B150" s="608" t="s">
        <v>886</v>
      </c>
      <c r="C150" s="608"/>
      <c r="D150" s="608"/>
      <c r="E150" s="608"/>
      <c r="F150" s="608"/>
      <c r="S150" s="265"/>
      <c r="U150" s="265"/>
      <c r="V150" s="265"/>
    </row>
    <row r="151" spans="2:22" ht="15" hidden="1" customHeight="1" x14ac:dyDescent="0.2">
      <c r="B151" s="230" t="s">
        <v>999</v>
      </c>
      <c r="C151" s="230" t="s">
        <v>344</v>
      </c>
      <c r="D151" s="265"/>
      <c r="E151" s="265"/>
      <c r="F151" s="265"/>
      <c r="S151" s="265"/>
      <c r="U151" s="265"/>
      <c r="V151" s="265"/>
    </row>
    <row r="152" spans="2:22" ht="15" hidden="1" customHeight="1" x14ac:dyDescent="0.2">
      <c r="B152" s="615" t="e">
        <f>B134-B148</f>
        <v>#REF!</v>
      </c>
      <c r="C152" s="618" t="e">
        <f>B152*2.3</f>
        <v>#REF!</v>
      </c>
      <c r="D152" s="265" t="e">
        <f>IF(C152&lt;0,0,C152)</f>
        <v>#REF!</v>
      </c>
      <c r="E152" s="265"/>
      <c r="F152" s="265"/>
      <c r="S152" s="265"/>
      <c r="U152" s="265"/>
      <c r="V152" s="265"/>
    </row>
    <row r="153" spans="2:22" ht="15" hidden="1" customHeight="1" x14ac:dyDescent="0.2">
      <c r="S153" s="265"/>
      <c r="U153" s="265"/>
      <c r="V153" s="265"/>
    </row>
    <row r="154" spans="2:22" ht="15" hidden="1" customHeight="1" x14ac:dyDescent="0.2">
      <c r="B154" s="608" t="s">
        <v>887</v>
      </c>
      <c r="S154" s="265"/>
      <c r="U154" s="265"/>
      <c r="V154" s="265"/>
    </row>
    <row r="155" spans="2:22" ht="15" hidden="1" customHeight="1" x14ac:dyDescent="0.2">
      <c r="B155" s="230" t="s">
        <v>992</v>
      </c>
      <c r="S155" s="265"/>
      <c r="U155" s="265"/>
      <c r="V155" s="265"/>
    </row>
    <row r="156" spans="2:22" ht="15" hidden="1" customHeight="1" x14ac:dyDescent="0.2">
      <c r="B156" s="616" t="e">
        <f>(B134/2)*B139</f>
        <v>#REF!</v>
      </c>
      <c r="S156" s="265"/>
      <c r="U156" s="265"/>
      <c r="V156" s="265"/>
    </row>
    <row r="157" spans="2:22" ht="15" hidden="1" customHeight="1" x14ac:dyDescent="0.2">
      <c r="S157" s="265"/>
      <c r="U157" s="265"/>
      <c r="V157" s="265"/>
    </row>
    <row r="158" spans="2:22" ht="15" hidden="1" customHeight="1" x14ac:dyDescent="0.2"/>
    <row r="159" spans="2:22" ht="15" hidden="1" customHeight="1" x14ac:dyDescent="0.2">
      <c r="B159" s="257" t="s">
        <v>889</v>
      </c>
    </row>
    <row r="160" spans="2:22" ht="15" hidden="1" customHeight="1" x14ac:dyDescent="0.2"/>
    <row r="161" spans="2:22" ht="15" hidden="1" customHeight="1" x14ac:dyDescent="0.2">
      <c r="B161" s="40" t="s">
        <v>429</v>
      </c>
    </row>
    <row r="162" spans="2:22" ht="15" hidden="1" customHeight="1" x14ac:dyDescent="0.2">
      <c r="H162" s="208"/>
      <c r="I162" s="208"/>
      <c r="J162" s="208"/>
      <c r="K162" s="208"/>
      <c r="L162" s="208"/>
      <c r="M162" s="208"/>
      <c r="N162" s="208"/>
      <c r="O162" s="208"/>
      <c r="P162" s="208"/>
      <c r="Q162" s="610" t="s">
        <v>890</v>
      </c>
      <c r="R162" s="610"/>
      <c r="S162" s="611"/>
      <c r="T162" s="447" t="e">
        <f>S181</f>
        <v>#REF!</v>
      </c>
      <c r="U162" s="611" t="s">
        <v>894</v>
      </c>
      <c r="V162" s="231"/>
    </row>
    <row r="163" spans="2:22" ht="15" hidden="1" customHeight="1" x14ac:dyDescent="0.2">
      <c r="H163" s="208"/>
      <c r="I163" s="208"/>
      <c r="J163" s="208"/>
      <c r="K163" s="208"/>
      <c r="L163" s="208"/>
      <c r="M163" s="208"/>
      <c r="N163" s="208"/>
      <c r="O163" s="208"/>
      <c r="P163" s="208"/>
      <c r="Q163" s="788"/>
      <c r="R163" s="789"/>
      <c r="S163" s="789"/>
      <c r="T163" s="789"/>
      <c r="U163" s="789"/>
      <c r="V163" s="789"/>
    </row>
    <row r="164" spans="2:22" ht="15" hidden="1" customHeight="1" x14ac:dyDescent="0.2">
      <c r="H164" s="208"/>
      <c r="I164" s="208"/>
      <c r="J164" s="208"/>
      <c r="K164" s="208"/>
      <c r="L164" s="208"/>
      <c r="M164" s="208"/>
      <c r="N164" s="208"/>
      <c r="O164" s="208"/>
      <c r="P164" s="208"/>
      <c r="Q164" s="610" t="s">
        <v>895</v>
      </c>
      <c r="R164" s="610"/>
      <c r="S164" s="611"/>
      <c r="T164" s="636">
        <f>B186*100</f>
        <v>61.777999999999999</v>
      </c>
      <c r="U164" s="611" t="s">
        <v>433</v>
      </c>
      <c r="V164" s="231"/>
    </row>
    <row r="165" spans="2:22" ht="15" hidden="1" customHeight="1" x14ac:dyDescent="0.2">
      <c r="B165" s="263"/>
      <c r="Q165" s="784"/>
      <c r="R165" s="785"/>
      <c r="S165" s="785"/>
      <c r="T165" s="785"/>
      <c r="U165" s="785"/>
      <c r="V165" s="785"/>
    </row>
    <row r="166" spans="2:22" ht="15" hidden="1" customHeight="1" x14ac:dyDescent="0.2">
      <c r="B166" s="783"/>
      <c r="C166" s="783"/>
      <c r="Q166" s="610" t="s">
        <v>896</v>
      </c>
      <c r="R166" s="610"/>
      <c r="S166" s="610"/>
      <c r="T166" s="447" t="e">
        <f>B190</f>
        <v>#REF!</v>
      </c>
      <c r="U166" s="611" t="s">
        <v>894</v>
      </c>
      <c r="V166" s="231"/>
    </row>
    <row r="167" spans="2:22" ht="15" hidden="1" customHeight="1" x14ac:dyDescent="0.2">
      <c r="B167" s="783"/>
      <c r="C167" s="783"/>
      <c r="Q167" s="229"/>
      <c r="R167" s="427"/>
      <c r="S167" s="427"/>
      <c r="T167" s="427"/>
      <c r="U167" s="427"/>
      <c r="V167" s="427"/>
    </row>
    <row r="168" spans="2:22" ht="15" hidden="1" customHeight="1" x14ac:dyDescent="0.2">
      <c r="B168" s="783"/>
      <c r="C168" s="783"/>
      <c r="Q168" s="610" t="s">
        <v>899</v>
      </c>
      <c r="R168" s="610"/>
      <c r="S168" s="610"/>
      <c r="T168" s="561">
        <f xml:space="preserve"> B195</f>
        <v>0.77</v>
      </c>
      <c r="U168" s="626" t="s">
        <v>984</v>
      </c>
      <c r="V168" s="231"/>
    </row>
    <row r="169" spans="2:22" ht="15" hidden="1" customHeight="1" x14ac:dyDescent="0.2">
      <c r="B169" s="263"/>
      <c r="Q169" s="229"/>
      <c r="R169" s="427"/>
      <c r="S169" s="427"/>
      <c r="T169" s="427"/>
      <c r="U169" s="427"/>
      <c r="V169" s="427"/>
    </row>
    <row r="170" spans="2:22" ht="15" hidden="1" customHeight="1" x14ac:dyDescent="0.2">
      <c r="B170" s="608" t="s">
        <v>901</v>
      </c>
      <c r="C170" s="608"/>
      <c r="Q170" s="610" t="s">
        <v>900</v>
      </c>
      <c r="R170" s="610"/>
      <c r="S170" s="610"/>
      <c r="T170" s="447">
        <f>B203</f>
        <v>187.012987012987</v>
      </c>
      <c r="U170" s="611" t="s">
        <v>894</v>
      </c>
      <c r="V170" s="231"/>
    </row>
    <row r="171" spans="2:22" ht="15" hidden="1" customHeight="1" x14ac:dyDescent="0.2">
      <c r="B171" s="278" t="s">
        <v>440</v>
      </c>
      <c r="C171" s="278" t="s">
        <v>441</v>
      </c>
      <c r="D171" s="278" t="s">
        <v>442</v>
      </c>
      <c r="E171" s="278"/>
      <c r="F171" s="278"/>
      <c r="G171" s="278" t="s">
        <v>443</v>
      </c>
      <c r="H171" s="278" t="s">
        <v>444</v>
      </c>
      <c r="I171" s="625"/>
      <c r="J171" s="625"/>
      <c r="K171" s="625"/>
      <c r="L171" s="625"/>
      <c r="M171" s="625"/>
      <c r="N171" s="625"/>
      <c r="O171" s="625"/>
      <c r="P171" s="625"/>
      <c r="Q171" s="229"/>
      <c r="R171" s="427"/>
      <c r="S171" s="427"/>
      <c r="T171" s="427"/>
      <c r="U171" s="427"/>
      <c r="V171" s="427"/>
    </row>
    <row r="172" spans="2:22" ht="15" hidden="1" customHeight="1" x14ac:dyDescent="0.2">
      <c r="B172" s="278" t="s">
        <v>445</v>
      </c>
      <c r="C172" s="278" t="s">
        <v>445</v>
      </c>
      <c r="D172" s="278" t="s">
        <v>445</v>
      </c>
      <c r="E172" s="278"/>
      <c r="F172" s="278"/>
      <c r="G172" s="278" t="s">
        <v>445</v>
      </c>
      <c r="H172" s="278" t="s">
        <v>445</v>
      </c>
      <c r="I172" s="278"/>
      <c r="J172" s="278"/>
      <c r="K172" s="278"/>
      <c r="L172" s="278"/>
      <c r="M172" s="278"/>
      <c r="N172" s="278"/>
      <c r="O172" s="278"/>
      <c r="P172" s="278"/>
      <c r="Q172" s="610" t="s">
        <v>902</v>
      </c>
      <c r="R172" s="610"/>
      <c r="S172" s="610"/>
      <c r="T172" s="636" t="e">
        <f>B211</f>
        <v>#REF!</v>
      </c>
      <c r="U172" s="230" t="s">
        <v>992</v>
      </c>
      <c r="V172" s="231"/>
    </row>
    <row r="173" spans="2:22" ht="15" hidden="1" customHeight="1" x14ac:dyDescent="0.2">
      <c r="B173" s="612">
        <f>(0.1678+12.582*D76-0.0006*D76^2) *0.15</f>
        <v>7186.5251700000017</v>
      </c>
      <c r="C173" s="612">
        <f>B173*0.22</f>
        <v>1581.0355374000003</v>
      </c>
      <c r="D173" s="612">
        <f>B173*0.26</f>
        <v>1868.4965442000005</v>
      </c>
      <c r="E173" s="612"/>
      <c r="F173" s="612"/>
      <c r="G173" s="612">
        <f>B173*0.36</f>
        <v>2587.1490612000007</v>
      </c>
      <c r="H173" s="612">
        <f>B173*0.16</f>
        <v>1149.8440272000003</v>
      </c>
      <c r="I173" s="637"/>
      <c r="J173" s="637"/>
      <c r="K173" s="637"/>
      <c r="L173" s="637"/>
      <c r="M173" s="637"/>
      <c r="N173" s="637"/>
      <c r="O173" s="637"/>
      <c r="P173" s="637"/>
      <c r="Q173" s="229"/>
      <c r="R173" s="427"/>
      <c r="S173" s="427"/>
      <c r="T173" s="427"/>
      <c r="U173" s="427"/>
      <c r="V173" s="427"/>
    </row>
    <row r="174" spans="2:22" ht="15" hidden="1" customHeight="1" x14ac:dyDescent="0.2">
      <c r="B174" s="613"/>
      <c r="C174" s="613"/>
      <c r="D174" s="613"/>
      <c r="E174" s="613"/>
      <c r="F174" s="613"/>
      <c r="G174" s="613"/>
      <c r="H174" s="613"/>
      <c r="I174" s="613"/>
      <c r="J174" s="613"/>
      <c r="K174" s="613"/>
      <c r="L174" s="613"/>
      <c r="M174" s="613"/>
      <c r="N174" s="613"/>
      <c r="O174" s="613"/>
      <c r="P174" s="613"/>
    </row>
    <row r="175" spans="2:22" ht="15" hidden="1" customHeight="1" x14ac:dyDescent="0.2">
      <c r="B175" s="278" t="s">
        <v>903</v>
      </c>
      <c r="C175" s="278" t="s">
        <v>904</v>
      </c>
      <c r="D175" s="278" t="s">
        <v>905</v>
      </c>
      <c r="E175" s="278"/>
      <c r="F175" s="278"/>
      <c r="G175" s="278" t="s">
        <v>906</v>
      </c>
      <c r="H175" s="230" t="s">
        <v>907</v>
      </c>
      <c r="I175" s="263"/>
      <c r="J175" s="263"/>
      <c r="K175" s="263"/>
      <c r="L175" s="263"/>
      <c r="M175" s="263"/>
      <c r="N175" s="263"/>
      <c r="O175" s="263"/>
      <c r="P175" s="263"/>
      <c r="T175" s="213"/>
      <c r="U175" s="213"/>
      <c r="V175" s="213"/>
    </row>
    <row r="176" spans="2:22" ht="15" hidden="1" customHeight="1" x14ac:dyDescent="0.2">
      <c r="B176" s="278" t="s">
        <v>445</v>
      </c>
      <c r="C176" s="278" t="s">
        <v>445</v>
      </c>
      <c r="D176" s="278" t="s">
        <v>445</v>
      </c>
      <c r="E176" s="278"/>
      <c r="F176" s="278"/>
      <c r="G176" s="278" t="s">
        <v>445</v>
      </c>
      <c r="H176" s="278" t="s">
        <v>445</v>
      </c>
      <c r="I176" s="208"/>
      <c r="J176" s="208"/>
      <c r="K176" s="208"/>
      <c r="L176" s="208"/>
      <c r="M176" s="208"/>
      <c r="N176" s="208"/>
      <c r="O176" s="208"/>
      <c r="P176" s="208"/>
      <c r="S176" s="265"/>
      <c r="T176" s="213"/>
      <c r="U176" s="213"/>
      <c r="V176" s="213"/>
    </row>
    <row r="177" spans="2:22" ht="15" hidden="1" customHeight="1" x14ac:dyDescent="0.2">
      <c r="B177" s="612">
        <f>C173*0.0235</f>
        <v>37.154335128900009</v>
      </c>
      <c r="C177" s="612">
        <f>D173*0.0126</f>
        <v>23.543056456920006</v>
      </c>
      <c r="D177" s="612">
        <f>G173*0.0124</f>
        <v>32.080648358880005</v>
      </c>
      <c r="E177" s="612"/>
      <c r="F177" s="612"/>
      <c r="G177" s="612">
        <f>H173*0.0104</f>
        <v>11.958377882880002</v>
      </c>
      <c r="H177" s="561">
        <f>B177+C177+D177+G177</f>
        <v>104.73641782758003</v>
      </c>
      <c r="I177" s="560"/>
      <c r="J177" s="560"/>
      <c r="K177" s="560"/>
      <c r="L177" s="560"/>
      <c r="M177" s="560"/>
      <c r="N177" s="560"/>
      <c r="O177" s="560"/>
      <c r="P177" s="560"/>
      <c r="T177" s="213"/>
      <c r="U177" s="213"/>
      <c r="V177" s="213"/>
    </row>
    <row r="178" spans="2:22" ht="15" hidden="1" customHeight="1" x14ac:dyDescent="0.2">
      <c r="B178" s="608"/>
      <c r="C178" s="608"/>
      <c r="S178" s="265"/>
      <c r="T178" s="213"/>
      <c r="U178" s="213"/>
      <c r="V178" s="213"/>
    </row>
    <row r="179" spans="2:22" ht="15" hidden="1" customHeight="1" x14ac:dyDescent="0.2">
      <c r="B179" s="230" t="s">
        <v>451</v>
      </c>
      <c r="C179" s="230" t="s">
        <v>452</v>
      </c>
      <c r="D179" s="230" t="s">
        <v>453</v>
      </c>
      <c r="E179" s="230"/>
      <c r="F179" s="230"/>
      <c r="G179" s="230" t="s">
        <v>908</v>
      </c>
      <c r="H179" s="230" t="s">
        <v>909</v>
      </c>
      <c r="I179" s="230"/>
      <c r="J179" s="230"/>
      <c r="K179" s="230"/>
      <c r="L179" s="230"/>
      <c r="M179" s="230"/>
      <c r="N179" s="230"/>
      <c r="O179" s="230"/>
      <c r="P179" s="230"/>
      <c r="Q179" s="230" t="s">
        <v>910</v>
      </c>
      <c r="R179" s="230"/>
      <c r="S179" s="614" t="s">
        <v>911</v>
      </c>
      <c r="T179" s="213"/>
      <c r="U179" s="213"/>
      <c r="V179" s="213"/>
    </row>
    <row r="180" spans="2:22" ht="15" hidden="1" customHeight="1" x14ac:dyDescent="0.2">
      <c r="B180" s="230" t="s">
        <v>445</v>
      </c>
      <c r="C180" s="230" t="s">
        <v>445</v>
      </c>
      <c r="D180" s="230" t="s">
        <v>445</v>
      </c>
      <c r="E180" s="230"/>
      <c r="F180" s="230"/>
      <c r="G180" s="230" t="s">
        <v>445</v>
      </c>
      <c r="H180" s="230" t="s">
        <v>445</v>
      </c>
      <c r="I180" s="230"/>
      <c r="J180" s="230"/>
      <c r="K180" s="230"/>
      <c r="L180" s="230"/>
      <c r="M180" s="230"/>
      <c r="N180" s="230"/>
      <c r="O180" s="230"/>
      <c r="P180" s="230"/>
      <c r="Q180" s="230" t="s">
        <v>445</v>
      </c>
      <c r="R180" s="230"/>
      <c r="S180" s="230" t="s">
        <v>445</v>
      </c>
      <c r="T180" s="213"/>
      <c r="U180" s="213"/>
      <c r="V180" s="213"/>
    </row>
    <row r="181" spans="2:22" ht="15" hidden="1" customHeight="1" x14ac:dyDescent="0.2">
      <c r="B181" s="230" t="e">
        <f>G76*60</f>
        <v>#REF!</v>
      </c>
      <c r="C181" s="230" t="e">
        <f>(G76)*52.8</f>
        <v>#REF!</v>
      </c>
      <c r="D181" s="230" t="e">
        <f>(G76+B168)*42.2</f>
        <v>#REF!</v>
      </c>
      <c r="E181" s="230"/>
      <c r="F181" s="230"/>
      <c r="G181" s="230" t="e">
        <f>C181*0.0196</f>
        <v>#REF!</v>
      </c>
      <c r="H181" s="615" t="e">
        <f>D181*0.0324</f>
        <v>#REF!</v>
      </c>
      <c r="I181" s="615"/>
      <c r="J181" s="615"/>
      <c r="K181" s="615"/>
      <c r="L181" s="615"/>
      <c r="M181" s="615"/>
      <c r="N181" s="615"/>
      <c r="O181" s="615"/>
      <c r="P181" s="615"/>
      <c r="Q181" s="612" t="e">
        <f>G181+H181</f>
        <v>#REF!</v>
      </c>
      <c r="R181" s="612"/>
      <c r="S181" s="616" t="e">
        <f>H177+Q181</f>
        <v>#REF!</v>
      </c>
      <c r="T181" s="213"/>
      <c r="U181" s="213"/>
      <c r="V181" s="213"/>
    </row>
    <row r="182" spans="2:22" ht="15" hidden="1" customHeight="1" x14ac:dyDescent="0.2">
      <c r="B182" s="213"/>
      <c r="C182" s="213"/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3"/>
      <c r="T182" s="213"/>
      <c r="U182" s="213"/>
      <c r="V182" s="213"/>
    </row>
    <row r="183" spans="2:22" ht="15" hidden="1" customHeight="1" x14ac:dyDescent="0.2">
      <c r="B183" s="786" t="s">
        <v>912</v>
      </c>
      <c r="C183" s="786"/>
      <c r="D183" s="786"/>
      <c r="E183" s="786"/>
      <c r="F183" s="786"/>
      <c r="G183" s="786"/>
      <c r="H183" s="265"/>
      <c r="I183" s="265"/>
      <c r="J183" s="265"/>
      <c r="K183" s="265"/>
      <c r="L183" s="265"/>
      <c r="M183" s="265"/>
      <c r="N183" s="265"/>
      <c r="O183" s="265"/>
      <c r="P183" s="265"/>
    </row>
    <row r="184" spans="2:22" ht="15" hidden="1" customHeight="1" x14ac:dyDescent="0.2">
      <c r="B184" s="230" t="s">
        <v>851</v>
      </c>
      <c r="C184" s="265"/>
      <c r="D184" s="265"/>
      <c r="E184" s="265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</row>
    <row r="185" spans="2:22" ht="15" hidden="1" customHeight="1" x14ac:dyDescent="0.2">
      <c r="B185" s="230" t="s">
        <v>435</v>
      </c>
      <c r="C185" s="265"/>
    </row>
    <row r="186" spans="2:22" ht="15" hidden="1" customHeight="1" x14ac:dyDescent="0.2">
      <c r="B186" s="616">
        <f>(50.778+0.0022*D76)/100</f>
        <v>0.61778</v>
      </c>
      <c r="C186" s="265"/>
    </row>
    <row r="187" spans="2:22" ht="15" hidden="1" customHeight="1" x14ac:dyDescent="0.2">
      <c r="B187" s="265"/>
      <c r="C187" s="265"/>
      <c r="D187" s="265"/>
      <c r="E187" s="265"/>
      <c r="F187" s="265"/>
      <c r="Q187" s="263"/>
      <c r="R187" s="263"/>
      <c r="S187" s="263"/>
      <c r="T187" s="265"/>
    </row>
    <row r="188" spans="2:22" ht="15" hidden="1" customHeight="1" x14ac:dyDescent="0.2">
      <c r="B188" s="786" t="s">
        <v>913</v>
      </c>
      <c r="C188" s="786"/>
      <c r="D188" s="786"/>
      <c r="E188" s="786"/>
      <c r="F188" s="786"/>
      <c r="G188" s="786"/>
      <c r="S188" s="265"/>
      <c r="T188" s="265"/>
    </row>
    <row r="189" spans="2:22" ht="15" hidden="1" customHeight="1" x14ac:dyDescent="0.2">
      <c r="B189" s="230" t="s">
        <v>914</v>
      </c>
      <c r="C189" s="265"/>
      <c r="D189" s="265"/>
      <c r="E189" s="265"/>
      <c r="F189" s="265"/>
      <c r="S189" s="265"/>
      <c r="T189" s="265"/>
    </row>
    <row r="190" spans="2:22" ht="15" hidden="1" customHeight="1" x14ac:dyDescent="0.2">
      <c r="B190" s="618" t="e">
        <f>S181/B186</f>
        <v>#REF!</v>
      </c>
      <c r="C190" s="265"/>
      <c r="D190" s="265"/>
      <c r="E190" s="265"/>
      <c r="F190" s="265"/>
    </row>
    <row r="191" spans="2:22" ht="15" hidden="1" customHeight="1" x14ac:dyDescent="0.2">
      <c r="B191" s="619"/>
      <c r="C191" s="265"/>
      <c r="D191" s="265"/>
      <c r="E191" s="265"/>
      <c r="F191" s="265"/>
    </row>
    <row r="192" spans="2:22" ht="15" hidden="1" customHeight="1" x14ac:dyDescent="0.2">
      <c r="B192" s="608" t="s">
        <v>915</v>
      </c>
      <c r="C192" s="608"/>
      <c r="D192" s="608"/>
      <c r="E192" s="608"/>
      <c r="F192" s="608"/>
    </row>
    <row r="193" spans="2:20" ht="15" hidden="1" customHeight="1" x14ac:dyDescent="0.2">
      <c r="B193" s="230" t="s">
        <v>916</v>
      </c>
      <c r="C193" s="265"/>
    </row>
    <row r="194" spans="2:20" ht="15" hidden="1" customHeight="1" x14ac:dyDescent="0.2">
      <c r="B194" s="614" t="s">
        <v>1002</v>
      </c>
      <c r="C194" s="265"/>
    </row>
    <row r="195" spans="2:20" ht="15" hidden="1" customHeight="1" x14ac:dyDescent="0.2">
      <c r="B195" s="616">
        <v>0.77</v>
      </c>
      <c r="C195" s="265"/>
    </row>
    <row r="196" spans="2:20" ht="15" hidden="1" customHeight="1" x14ac:dyDescent="0.2">
      <c r="B196" s="619"/>
      <c r="C196" s="265"/>
    </row>
    <row r="197" spans="2:20" ht="15" hidden="1" customHeight="1" x14ac:dyDescent="0.2">
      <c r="B197" s="786" t="s">
        <v>917</v>
      </c>
      <c r="C197" s="786"/>
      <c r="D197" s="786"/>
      <c r="E197" s="786"/>
      <c r="F197" s="786"/>
      <c r="G197" s="786"/>
      <c r="H197" s="786"/>
      <c r="I197" s="633"/>
      <c r="J197" s="633"/>
      <c r="K197" s="633"/>
      <c r="L197" s="633"/>
      <c r="M197" s="633"/>
      <c r="N197" s="633"/>
      <c r="O197" s="633"/>
      <c r="P197" s="633"/>
    </row>
    <row r="198" spans="2:20" ht="15" hidden="1" customHeight="1" x14ac:dyDescent="0.2">
      <c r="B198" s="230" t="s">
        <v>918</v>
      </c>
      <c r="C198" s="230" t="s">
        <v>914</v>
      </c>
      <c r="D198" s="265"/>
      <c r="E198" s="265"/>
      <c r="F198" s="265"/>
    </row>
    <row r="199" spans="2:20" ht="15" hidden="1" customHeight="1" x14ac:dyDescent="0.2">
      <c r="B199" s="615">
        <f>G17/B195</f>
        <v>155.84415584415584</v>
      </c>
      <c r="C199" s="618">
        <f>B199*2</f>
        <v>311.68831168831167</v>
      </c>
      <c r="D199" s="265"/>
      <c r="E199" s="265"/>
      <c r="F199" s="265"/>
    </row>
    <row r="200" spans="2:20" ht="15" hidden="1" customHeight="1" x14ac:dyDescent="0.2">
      <c r="B200" s="265"/>
      <c r="C200" s="265"/>
      <c r="D200" s="265"/>
      <c r="E200" s="265"/>
      <c r="F200" s="265"/>
    </row>
    <row r="201" spans="2:20" ht="15" hidden="1" customHeight="1" x14ac:dyDescent="0.2">
      <c r="B201" s="608" t="s">
        <v>919</v>
      </c>
      <c r="C201" s="608"/>
    </row>
    <row r="202" spans="2:20" ht="15" hidden="1" customHeight="1" x14ac:dyDescent="0.2">
      <c r="B202" s="230" t="s">
        <v>920</v>
      </c>
      <c r="C202" s="265"/>
    </row>
    <row r="203" spans="2:20" ht="15" hidden="1" customHeight="1" x14ac:dyDescent="0.2">
      <c r="B203" s="618">
        <f xml:space="preserve"> (C199)*0.6</f>
        <v>187.012987012987</v>
      </c>
      <c r="C203" s="265"/>
    </row>
    <row r="204" spans="2:20" ht="15" hidden="1" customHeight="1" x14ac:dyDescent="0.2">
      <c r="B204" s="265"/>
      <c r="C204" s="265"/>
      <c r="D204" s="265"/>
      <c r="E204" s="265"/>
      <c r="F204" s="265"/>
    </row>
    <row r="205" spans="2:20" ht="15" hidden="1" customHeight="1" x14ac:dyDescent="0.2">
      <c r="B205" s="608" t="s">
        <v>921</v>
      </c>
      <c r="C205" s="608"/>
      <c r="D205" s="608"/>
      <c r="E205" s="608"/>
      <c r="F205" s="608"/>
    </row>
    <row r="206" spans="2:20" ht="15" hidden="1" customHeight="1" x14ac:dyDescent="0.2">
      <c r="B206" s="263" t="s">
        <v>922</v>
      </c>
      <c r="C206" s="790" t="s">
        <v>345</v>
      </c>
      <c r="D206" s="790"/>
      <c r="E206" s="263"/>
      <c r="F206" s="263"/>
      <c r="S206" s="265"/>
      <c r="T206" s="265"/>
    </row>
    <row r="207" spans="2:20" ht="15" hidden="1" customHeight="1" x14ac:dyDescent="0.2">
      <c r="B207" s="639" t="e">
        <f>B190-B203</f>
        <v>#REF!</v>
      </c>
      <c r="C207" s="791" t="e">
        <f>B207*1.2</f>
        <v>#REF!</v>
      </c>
      <c r="D207" s="791"/>
      <c r="E207" s="619"/>
      <c r="F207" s="619"/>
      <c r="S207" s="265"/>
      <c r="T207" s="265"/>
    </row>
    <row r="208" spans="2:20" ht="15" hidden="1" customHeight="1" x14ac:dyDescent="0.2">
      <c r="S208" s="265"/>
      <c r="T208" s="265"/>
    </row>
    <row r="209" spans="2:20" ht="15" hidden="1" customHeight="1" x14ac:dyDescent="0.2">
      <c r="B209" s="608" t="s">
        <v>887</v>
      </c>
      <c r="S209" s="265"/>
      <c r="T209" s="265"/>
    </row>
    <row r="210" spans="2:20" ht="15" hidden="1" customHeight="1" x14ac:dyDescent="0.2">
      <c r="B210" s="230" t="s">
        <v>992</v>
      </c>
      <c r="S210" s="265"/>
      <c r="T210" s="265"/>
    </row>
    <row r="211" spans="2:20" ht="15" hidden="1" customHeight="1" x14ac:dyDescent="0.2">
      <c r="B211" s="616" t="e">
        <f>(B190/2)*B195</f>
        <v>#REF!</v>
      </c>
      <c r="S211" s="265"/>
      <c r="T211" s="265"/>
    </row>
    <row r="212" spans="2:20" ht="15" hidden="1" customHeight="1" x14ac:dyDescent="0.2">
      <c r="S212" s="265"/>
      <c r="T212" s="265"/>
    </row>
  </sheetData>
  <sheetProtection algorithmName="SHA-512" hashValue="3QHBg2RArLTmY37GYQbqx0pU/k7yEr75bYn9Lx6Oib8Qry9GaCqnrqTfNPSntWtIcIXcchswpt0AoVZo5qHaCA==" saltValue="KXy5QOiRya6g+mMnbu04sw==" spinCount="100000" sheet="1" objects="1" scenarios="1" selectLockedCells="1"/>
  <mergeCells count="25">
    <mergeCell ref="C6:N6"/>
    <mergeCell ref="C206:D206"/>
    <mergeCell ref="C207:D207"/>
    <mergeCell ref="B166:C166"/>
    <mergeCell ref="B167:C167"/>
    <mergeCell ref="B168:C168"/>
    <mergeCell ref="B183:G183"/>
    <mergeCell ref="B188:G188"/>
    <mergeCell ref="B197:H197"/>
    <mergeCell ref="Q80:V80"/>
    <mergeCell ref="B77:C77"/>
    <mergeCell ref="H51:K51"/>
    <mergeCell ref="E8:M8"/>
    <mergeCell ref="Q165:V165"/>
    <mergeCell ref="Q82:V82"/>
    <mergeCell ref="Q84:V84"/>
    <mergeCell ref="B91:G91"/>
    <mergeCell ref="B96:G96"/>
    <mergeCell ref="C105:D105"/>
    <mergeCell ref="C106:D106"/>
    <mergeCell ref="B110:C110"/>
    <mergeCell ref="B127:G127"/>
    <mergeCell ref="B132:G132"/>
    <mergeCell ref="B141:H141"/>
    <mergeCell ref="Q163:V163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8">
    <pageSetUpPr fitToPage="1"/>
  </sheetPr>
  <dimension ref="A1:P52"/>
  <sheetViews>
    <sheetView showGridLines="0" showRowColHeaders="0" zoomScaleNormal="100" workbookViewId="0">
      <selection activeCell="J17" sqref="J17"/>
    </sheetView>
  </sheetViews>
  <sheetFormatPr defaultColWidth="0" defaultRowHeight="1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2260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16" s="76" customFormat="1" ht="15" customHeight="1" x14ac:dyDescent="0.2">
      <c r="D8" s="227" t="s">
        <v>893</v>
      </c>
      <c r="E8" s="804" t="str">
        <f>ArabicaProd!E8</f>
        <v>João</v>
      </c>
      <c r="F8" s="805"/>
      <c r="G8" s="805"/>
      <c r="H8" s="805"/>
      <c r="I8" s="805"/>
      <c r="J8" s="805"/>
      <c r="K8" s="805"/>
      <c r="L8" s="805"/>
      <c r="M8" s="805"/>
      <c r="N8" s="98"/>
    </row>
    <row r="9" spans="1:16" s="76" customFormat="1" ht="15" customHeight="1" x14ac:dyDescent="0.2">
      <c r="D9" s="356"/>
      <c r="E9" s="356"/>
      <c r="F9" s="88"/>
      <c r="G9" s="88"/>
      <c r="H9" s="88"/>
      <c r="I9" s="356"/>
      <c r="J9" s="356"/>
      <c r="K9" s="356"/>
      <c r="L9" s="356"/>
      <c r="M9" s="356"/>
      <c r="N9" s="98"/>
    </row>
    <row r="10" spans="1:16" s="76" customFormat="1" ht="15" customHeight="1" x14ac:dyDescent="0.2">
      <c r="F10" s="450" t="s">
        <v>580</v>
      </c>
      <c r="G10" s="372"/>
      <c r="H10" s="118"/>
      <c r="I10" s="798">
        <f>ArabicaProd!G13/ArabicaProd!K11</f>
        <v>3</v>
      </c>
      <c r="J10" s="798"/>
      <c r="K10" s="438" t="s">
        <v>575</v>
      </c>
      <c r="L10" s="88"/>
      <c r="M10" s="88"/>
    </row>
    <row r="11" spans="1:16" s="76" customFormat="1" ht="15" customHeight="1" x14ac:dyDescent="0.2">
      <c r="F11" s="450" t="s">
        <v>581</v>
      </c>
      <c r="G11" s="372"/>
      <c r="H11" s="260"/>
      <c r="I11" s="797">
        <f>ArabicaProd!G13</f>
        <v>10000</v>
      </c>
      <c r="J11" s="797"/>
      <c r="K11" s="118" t="s">
        <v>1972</v>
      </c>
      <c r="L11" s="88"/>
      <c r="M11" s="88"/>
      <c r="O11" s="594"/>
    </row>
    <row r="12" spans="1:16" s="76" customFormat="1" ht="15" customHeight="1" x14ac:dyDescent="0.2">
      <c r="F12" s="450" t="s">
        <v>582</v>
      </c>
      <c r="G12" s="372"/>
      <c r="H12" s="438"/>
      <c r="I12" s="796">
        <f>ArabicaProd!G12*ArabicaCusteio!I10</f>
        <v>90</v>
      </c>
      <c r="J12" s="796"/>
      <c r="K12" s="438" t="s">
        <v>583</v>
      </c>
      <c r="L12" s="88"/>
      <c r="M12" s="88"/>
    </row>
    <row r="13" spans="1:16" s="76" customFormat="1" ht="15" customHeight="1" x14ac:dyDescent="0.2">
      <c r="D13" s="443"/>
      <c r="E13" s="31"/>
      <c r="F13" s="251"/>
      <c r="G13" s="356"/>
      <c r="H13" s="356"/>
      <c r="I13" s="88"/>
      <c r="J13" s="88"/>
      <c r="K13" s="88"/>
      <c r="L13" s="88"/>
      <c r="M13" s="88"/>
    </row>
    <row r="14" spans="1:16" s="76" customFormat="1" ht="15" customHeight="1" x14ac:dyDescent="0.2">
      <c r="E14" s="118" t="s">
        <v>1971</v>
      </c>
      <c r="F14" s="251"/>
      <c r="G14" s="356"/>
      <c r="H14" s="356"/>
      <c r="I14" s="88"/>
      <c r="J14" s="88"/>
      <c r="K14" s="88"/>
      <c r="L14" s="88"/>
      <c r="M14" s="88"/>
    </row>
    <row r="15" spans="1:16" s="76" customFormat="1" ht="15" customHeight="1" x14ac:dyDescent="0.2">
      <c r="D15" s="356"/>
      <c r="E15" s="595"/>
      <c r="F15" s="595"/>
      <c r="G15" s="368"/>
      <c r="H15" s="368"/>
      <c r="I15" s="368"/>
      <c r="J15" s="368"/>
      <c r="K15" s="368"/>
      <c r="L15" s="368"/>
      <c r="M15" s="356"/>
    </row>
    <row r="16" spans="1:16" s="76" customFormat="1" ht="15" customHeight="1" x14ac:dyDescent="0.2">
      <c r="D16" s="397" t="s">
        <v>584</v>
      </c>
      <c r="E16" s="397"/>
      <c r="F16" s="249" t="s">
        <v>1121</v>
      </c>
      <c r="G16" s="249"/>
      <c r="H16" s="249" t="s">
        <v>585</v>
      </c>
      <c r="I16" s="249"/>
      <c r="J16" s="249" t="s">
        <v>586</v>
      </c>
      <c r="K16" s="249"/>
      <c r="L16" s="743" t="s">
        <v>587</v>
      </c>
      <c r="M16" s="743"/>
    </row>
    <row r="17" spans="4:14" s="76" customFormat="1" ht="15" customHeight="1" x14ac:dyDescent="0.2">
      <c r="D17" s="356" t="s">
        <v>588</v>
      </c>
      <c r="E17" s="356"/>
      <c r="F17" s="31" t="s">
        <v>589</v>
      </c>
      <c r="G17" s="31"/>
      <c r="H17" s="596">
        <f>(((ArabicaProd!H37*ArabicaProd!G13)/1000)/50)*3</f>
        <v>0</v>
      </c>
      <c r="I17" s="251"/>
      <c r="J17" s="12">
        <v>70</v>
      </c>
      <c r="K17" s="251"/>
      <c r="L17" s="803">
        <f t="shared" ref="L17:L22" si="0">H17*J17</f>
        <v>0</v>
      </c>
      <c r="M17" s="803"/>
      <c r="N17" s="361"/>
    </row>
    <row r="18" spans="4:14" s="76" customFormat="1" ht="15" customHeight="1" x14ac:dyDescent="0.2">
      <c r="D18" s="356" t="s">
        <v>591</v>
      </c>
      <c r="E18" s="356"/>
      <c r="F18" s="31" t="s">
        <v>589</v>
      </c>
      <c r="G18" s="31"/>
      <c r="H18" s="596">
        <f>(ArabicaProd!K44)</f>
        <v>0</v>
      </c>
      <c r="I18" s="251"/>
      <c r="J18" s="12">
        <v>4.5</v>
      </c>
      <c r="K18" s="251"/>
      <c r="L18" s="803">
        <f t="shared" si="0"/>
        <v>0</v>
      </c>
      <c r="M18" s="803"/>
    </row>
    <row r="19" spans="4:14" s="76" customFormat="1" ht="15" customHeight="1" x14ac:dyDescent="0.2">
      <c r="D19" s="356" t="s">
        <v>716</v>
      </c>
      <c r="E19" s="356"/>
      <c r="F19" s="31" t="s">
        <v>631</v>
      </c>
      <c r="G19" s="31"/>
      <c r="H19" s="13">
        <v>10</v>
      </c>
      <c r="I19" s="251"/>
      <c r="J19" s="12">
        <v>50</v>
      </c>
      <c r="K19" s="251"/>
      <c r="L19" s="803">
        <f t="shared" si="0"/>
        <v>500</v>
      </c>
      <c r="M19" s="803"/>
    </row>
    <row r="20" spans="4:14" s="76" customFormat="1" ht="15" customHeight="1" x14ac:dyDescent="0.2">
      <c r="D20" s="356" t="s">
        <v>592</v>
      </c>
      <c r="E20" s="356"/>
      <c r="F20" s="31" t="s">
        <v>631</v>
      </c>
      <c r="G20" s="31"/>
      <c r="H20" s="1">
        <v>20</v>
      </c>
      <c r="I20" s="251"/>
      <c r="J20" s="12">
        <v>20</v>
      </c>
      <c r="K20" s="251"/>
      <c r="L20" s="803">
        <f t="shared" si="0"/>
        <v>400</v>
      </c>
      <c r="M20" s="803"/>
    </row>
    <row r="21" spans="4:14" s="76" customFormat="1" ht="15" customHeight="1" x14ac:dyDescent="0.2">
      <c r="D21" s="356" t="s">
        <v>593</v>
      </c>
      <c r="E21" s="356"/>
      <c r="F21" s="31" t="s">
        <v>631</v>
      </c>
      <c r="G21" s="31"/>
      <c r="H21" s="1">
        <v>0</v>
      </c>
      <c r="I21" s="251"/>
      <c r="J21" s="12">
        <v>0</v>
      </c>
      <c r="K21" s="251"/>
      <c r="L21" s="803">
        <f t="shared" si="0"/>
        <v>0</v>
      </c>
      <c r="M21" s="803"/>
    </row>
    <row r="22" spans="4:14" s="76" customFormat="1" ht="15" customHeight="1" x14ac:dyDescent="0.2">
      <c r="D22" s="356" t="s">
        <v>594</v>
      </c>
      <c r="E22" s="356"/>
      <c r="F22" s="31" t="s">
        <v>631</v>
      </c>
      <c r="G22" s="31"/>
      <c r="H22" s="1">
        <v>0</v>
      </c>
      <c r="I22" s="251"/>
      <c r="J22" s="12">
        <v>0</v>
      </c>
      <c r="K22" s="251"/>
      <c r="L22" s="792">
        <f t="shared" si="0"/>
        <v>0</v>
      </c>
      <c r="M22" s="792"/>
    </row>
    <row r="23" spans="4:14" s="76" customFormat="1" ht="15" customHeight="1" x14ac:dyDescent="0.2">
      <c r="D23" s="397" t="s">
        <v>587</v>
      </c>
      <c r="E23" s="597"/>
      <c r="F23" s="415"/>
      <c r="G23" s="415"/>
      <c r="H23" s="415"/>
      <c r="I23" s="415"/>
      <c r="J23" s="415"/>
      <c r="K23" s="415"/>
      <c r="L23" s="793">
        <f>L17+L18+L19+L20+L21+L22</f>
        <v>900</v>
      </c>
      <c r="M23" s="793"/>
    </row>
    <row r="24" spans="4:14" s="76" customFormat="1" ht="15" customHeight="1" x14ac:dyDescent="0.2">
      <c r="D24" s="356"/>
      <c r="E24" s="356"/>
      <c r="F24" s="31"/>
      <c r="G24" s="31"/>
      <c r="H24" s="31"/>
      <c r="I24" s="31"/>
      <c r="J24" s="31"/>
      <c r="K24" s="31"/>
      <c r="L24" s="31"/>
      <c r="M24" s="356"/>
    </row>
    <row r="25" spans="4:14" s="76" customFormat="1" ht="15" customHeight="1" x14ac:dyDescent="0.2">
      <c r="D25" s="397" t="s">
        <v>595</v>
      </c>
      <c r="E25" s="397"/>
      <c r="F25" s="249" t="s">
        <v>1121</v>
      </c>
      <c r="G25" s="249"/>
      <c r="H25" s="249" t="s">
        <v>585</v>
      </c>
      <c r="I25" s="249"/>
      <c r="J25" s="249" t="s">
        <v>586</v>
      </c>
      <c r="K25" s="249"/>
      <c r="L25" s="743" t="s">
        <v>587</v>
      </c>
      <c r="M25" s="743"/>
    </row>
    <row r="26" spans="4:14" s="76" customFormat="1" ht="15" customHeight="1" x14ac:dyDescent="0.2">
      <c r="D26" s="356" t="s">
        <v>596</v>
      </c>
      <c r="E26" s="356"/>
      <c r="F26" s="31" t="s">
        <v>610</v>
      </c>
      <c r="G26" s="251"/>
      <c r="H26" s="1">
        <v>30</v>
      </c>
      <c r="I26" s="251"/>
      <c r="J26" s="14">
        <v>30</v>
      </c>
      <c r="K26" s="251"/>
      <c r="L26" s="803">
        <f t="shared" ref="L26:L31" si="1">H26*J26</f>
        <v>900</v>
      </c>
      <c r="M26" s="803"/>
    </row>
    <row r="27" spans="4:14" s="76" customFormat="1" ht="15" customHeight="1" x14ac:dyDescent="0.2">
      <c r="D27" s="356" t="s">
        <v>611</v>
      </c>
      <c r="E27" s="356"/>
      <c r="F27" s="31" t="s">
        <v>610</v>
      </c>
      <c r="G27" s="251"/>
      <c r="H27" s="1">
        <v>15</v>
      </c>
      <c r="I27" s="251"/>
      <c r="J27" s="14">
        <v>60</v>
      </c>
      <c r="K27" s="251"/>
      <c r="L27" s="803">
        <f t="shared" si="1"/>
        <v>900</v>
      </c>
      <c r="M27" s="803"/>
    </row>
    <row r="28" spans="4:14" s="76" customFormat="1" ht="15" customHeight="1" x14ac:dyDescent="0.2">
      <c r="D28" s="356" t="s">
        <v>612</v>
      </c>
      <c r="E28" s="356"/>
      <c r="F28" s="31" t="s">
        <v>610</v>
      </c>
      <c r="G28" s="251"/>
      <c r="H28" s="1">
        <v>30</v>
      </c>
      <c r="I28" s="251"/>
      <c r="J28" s="14">
        <v>30</v>
      </c>
      <c r="K28" s="251"/>
      <c r="L28" s="803">
        <f t="shared" si="1"/>
        <v>900</v>
      </c>
      <c r="M28" s="803"/>
    </row>
    <row r="29" spans="4:14" s="76" customFormat="1" ht="15" customHeight="1" x14ac:dyDescent="0.2">
      <c r="D29" s="88" t="s">
        <v>613</v>
      </c>
      <c r="E29" s="88"/>
      <c r="F29" s="251" t="s">
        <v>614</v>
      </c>
      <c r="G29" s="251"/>
      <c r="H29" s="251">
        <f>I12*6</f>
        <v>540</v>
      </c>
      <c r="I29" s="251"/>
      <c r="J29" s="14">
        <v>9</v>
      </c>
      <c r="K29" s="251"/>
      <c r="L29" s="803">
        <f t="shared" si="1"/>
        <v>4860</v>
      </c>
      <c r="M29" s="803"/>
    </row>
    <row r="30" spans="4:14" s="76" customFormat="1" ht="15" customHeight="1" x14ac:dyDescent="0.2">
      <c r="D30" s="88" t="s">
        <v>615</v>
      </c>
      <c r="E30" s="88"/>
      <c r="F30" s="251" t="s">
        <v>616</v>
      </c>
      <c r="G30" s="251"/>
      <c r="H30" s="251">
        <f>H29</f>
        <v>540</v>
      </c>
      <c r="I30" s="251"/>
      <c r="J30" s="14">
        <v>1</v>
      </c>
      <c r="K30" s="251"/>
      <c r="L30" s="803">
        <f t="shared" si="1"/>
        <v>540</v>
      </c>
      <c r="M30" s="803"/>
    </row>
    <row r="31" spans="4:14" s="76" customFormat="1" ht="15" customHeight="1" x14ac:dyDescent="0.2">
      <c r="D31" s="88" t="s">
        <v>617</v>
      </c>
      <c r="E31" s="88"/>
      <c r="F31" s="251" t="s">
        <v>618</v>
      </c>
      <c r="G31" s="251"/>
      <c r="H31" s="251">
        <f>I12</f>
        <v>90</v>
      </c>
      <c r="I31" s="251"/>
      <c r="J31" s="14">
        <v>3</v>
      </c>
      <c r="K31" s="251"/>
      <c r="L31" s="792">
        <f t="shared" si="1"/>
        <v>270</v>
      </c>
      <c r="M31" s="792"/>
    </row>
    <row r="32" spans="4:14" s="76" customFormat="1" ht="15" customHeight="1" x14ac:dyDescent="0.2">
      <c r="D32" s="397" t="s">
        <v>587</v>
      </c>
      <c r="E32" s="597"/>
      <c r="F32" s="415"/>
      <c r="G32" s="415"/>
      <c r="H32" s="415"/>
      <c r="I32" s="415"/>
      <c r="J32" s="415"/>
      <c r="K32" s="415"/>
      <c r="L32" s="793">
        <f>L26+L27+L28+L29+L30+L31</f>
        <v>8370</v>
      </c>
      <c r="M32" s="793"/>
    </row>
    <row r="33" spans="4:13" s="76" customFormat="1" ht="15" customHeight="1" x14ac:dyDescent="0.2">
      <c r="D33" s="356"/>
      <c r="E33" s="356"/>
      <c r="F33" s="356"/>
      <c r="G33" s="356"/>
      <c r="H33" s="31"/>
      <c r="I33" s="356"/>
      <c r="J33" s="31"/>
      <c r="K33" s="356"/>
      <c r="L33" s="31"/>
      <c r="M33" s="356"/>
    </row>
    <row r="34" spans="4:13" s="76" customFormat="1" ht="15" customHeight="1" x14ac:dyDescent="0.2">
      <c r="F34" s="356" t="s">
        <v>619</v>
      </c>
      <c r="G34" s="356"/>
      <c r="H34" s="356"/>
      <c r="I34" s="598" t="s">
        <v>620</v>
      </c>
      <c r="J34" s="799">
        <f>L23+L32</f>
        <v>9270</v>
      </c>
      <c r="K34" s="800"/>
      <c r="L34" s="356"/>
      <c r="M34" s="356"/>
    </row>
    <row r="35" spans="4:13" s="76" customFormat="1" ht="15" customHeight="1" x14ac:dyDescent="0.2">
      <c r="F35" s="356"/>
      <c r="G35" s="356"/>
      <c r="H35" s="356"/>
      <c r="I35" s="598"/>
      <c r="J35" s="356"/>
      <c r="K35" s="356"/>
      <c r="L35" s="356"/>
      <c r="M35" s="356"/>
    </row>
    <row r="36" spans="4:13" s="76" customFormat="1" ht="15" customHeight="1" x14ac:dyDescent="0.2">
      <c r="F36" s="356" t="s">
        <v>621</v>
      </c>
      <c r="G36" s="356"/>
      <c r="H36" s="356"/>
      <c r="I36" s="598" t="s">
        <v>620</v>
      </c>
      <c r="J36" s="799">
        <f>(L23+L32)/I10</f>
        <v>3090</v>
      </c>
      <c r="K36" s="800"/>
      <c r="L36" s="356"/>
      <c r="M36" s="356"/>
    </row>
    <row r="37" spans="4:13" s="76" customFormat="1" ht="15" customHeight="1" x14ac:dyDescent="0.2">
      <c r="F37" s="356"/>
      <c r="G37" s="356"/>
      <c r="H37" s="356"/>
      <c r="I37" s="598"/>
      <c r="J37" s="599"/>
      <c r="K37" s="356"/>
      <c r="L37" s="356"/>
      <c r="M37" s="356"/>
    </row>
    <row r="38" spans="4:13" s="76" customFormat="1" ht="15" customHeight="1" x14ac:dyDescent="0.2">
      <c r="F38" s="356" t="s">
        <v>795</v>
      </c>
      <c r="G38" s="356"/>
      <c r="H38" s="356"/>
      <c r="I38" s="598" t="s">
        <v>620</v>
      </c>
      <c r="J38" s="799">
        <f>J34/I12</f>
        <v>103</v>
      </c>
      <c r="K38" s="800"/>
      <c r="L38" s="356"/>
      <c r="M38" s="356"/>
    </row>
    <row r="39" spans="4:13" s="76" customFormat="1" ht="15" customHeight="1" x14ac:dyDescent="0.2">
      <c r="F39" s="356"/>
      <c r="G39" s="356"/>
      <c r="H39" s="356"/>
      <c r="I39" s="598"/>
      <c r="J39" s="599"/>
      <c r="K39" s="356"/>
      <c r="L39" s="356"/>
      <c r="M39" s="356"/>
    </row>
    <row r="40" spans="4:13" s="76" customFormat="1" ht="15" customHeight="1" x14ac:dyDescent="0.2">
      <c r="F40" s="356" t="s">
        <v>622</v>
      </c>
      <c r="G40" s="356"/>
      <c r="H40" s="356"/>
      <c r="I40" s="598" t="s">
        <v>620</v>
      </c>
      <c r="J40" s="801">
        <v>220</v>
      </c>
      <c r="K40" s="802"/>
      <c r="L40" s="356"/>
      <c r="M40" s="356"/>
    </row>
    <row r="41" spans="4:13" s="76" customFormat="1" ht="15" customHeight="1" x14ac:dyDescent="0.2">
      <c r="F41" s="356"/>
      <c r="G41" s="356"/>
      <c r="H41" s="356"/>
      <c r="I41" s="598"/>
      <c r="J41" s="356"/>
      <c r="K41" s="356"/>
      <c r="L41" s="356"/>
      <c r="M41" s="356"/>
    </row>
    <row r="42" spans="4:13" s="76" customFormat="1" ht="15" customHeight="1" x14ac:dyDescent="0.2">
      <c r="F42" s="438" t="s">
        <v>623</v>
      </c>
      <c r="G42" s="438"/>
      <c r="H42" s="438"/>
      <c r="I42" s="391" t="s">
        <v>620</v>
      </c>
      <c r="J42" s="794">
        <f>(I12*J40)-J34</f>
        <v>10530</v>
      </c>
      <c r="K42" s="795"/>
      <c r="L42" s="356"/>
      <c r="M42" s="356"/>
    </row>
    <row r="43" spans="4:13" s="76" customFormat="1" ht="15" customHeight="1" x14ac:dyDescent="0.2">
      <c r="F43" s="438"/>
      <c r="G43" s="438"/>
      <c r="H43" s="438"/>
      <c r="I43" s="391"/>
      <c r="J43" s="438"/>
      <c r="K43" s="438"/>
      <c r="L43" s="356"/>
      <c r="M43" s="356"/>
    </row>
    <row r="44" spans="4:13" s="76" customFormat="1" ht="15" customHeight="1" x14ac:dyDescent="0.2">
      <c r="F44" s="438" t="s">
        <v>624</v>
      </c>
      <c r="G44" s="438"/>
      <c r="H44" s="438"/>
      <c r="I44" s="391" t="s">
        <v>620</v>
      </c>
      <c r="J44" s="794">
        <f>J42/I10</f>
        <v>3510</v>
      </c>
      <c r="K44" s="795"/>
      <c r="L44" s="356"/>
      <c r="M44" s="356"/>
    </row>
    <row r="45" spans="4:13" ht="15" customHeight="1" x14ac:dyDescent="0.2"/>
    <row r="46" spans="4:13" ht="15" hidden="1" customHeight="1" x14ac:dyDescent="0.2"/>
    <row r="47" spans="4:13" ht="15" hidden="1" customHeight="1" x14ac:dyDescent="0.2"/>
    <row r="48" spans="4:13" ht="15" hidden="1" customHeight="1" x14ac:dyDescent="0.2"/>
    <row r="49" spans="2:2" ht="15" hidden="1" customHeight="1" x14ac:dyDescent="0.2"/>
    <row r="50" spans="2:2" ht="15" hidden="1" customHeight="1" x14ac:dyDescent="0.2"/>
    <row r="51" spans="2:2" ht="15" hidden="1" customHeight="1" x14ac:dyDescent="0.2"/>
    <row r="52" spans="2:2" ht="15" hidden="1" customHeight="1" x14ac:dyDescent="0.2">
      <c r="B52" s="207"/>
    </row>
  </sheetData>
  <sheetProtection algorithmName="SHA-512" hashValue="r/4Qha+y/TpSCwy/6ibJgB95UXR9moMM5GoUUQoWKh1VrN6zxps4t/A/hK7X4Ug4OFgmjmNv2UPw0vrkYgGBEw==" saltValue="drxiEdlZquMG0SaVoyO7gg==" spinCount="100000" sheet="1" objects="1" scenarios="1" selectLockedCells="1"/>
  <mergeCells count="27">
    <mergeCell ref="C6:N6"/>
    <mergeCell ref="L27:M27"/>
    <mergeCell ref="L28:M28"/>
    <mergeCell ref="L29:M29"/>
    <mergeCell ref="L30:M30"/>
    <mergeCell ref="L21:M21"/>
    <mergeCell ref="L22:M22"/>
    <mergeCell ref="L23:M23"/>
    <mergeCell ref="L25:M25"/>
    <mergeCell ref="L26:M26"/>
    <mergeCell ref="L16:M16"/>
    <mergeCell ref="L17:M17"/>
    <mergeCell ref="L18:M18"/>
    <mergeCell ref="L19:M19"/>
    <mergeCell ref="E8:M8"/>
    <mergeCell ref="L20:M20"/>
    <mergeCell ref="I10:J10"/>
    <mergeCell ref="J34:K34"/>
    <mergeCell ref="J36:K36"/>
    <mergeCell ref="J38:K38"/>
    <mergeCell ref="J40:K40"/>
    <mergeCell ref="L31:M31"/>
    <mergeCell ref="L32:M32"/>
    <mergeCell ref="J44:K44"/>
    <mergeCell ref="I12:J12"/>
    <mergeCell ref="I11:J11"/>
    <mergeCell ref="J42:K42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ignoredErrors>
    <ignoredError sqref="E8" unlockedFormula="1"/>
  </ignoredError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>
    <pageSetUpPr fitToPage="1"/>
  </sheetPr>
  <dimension ref="A1:R148"/>
  <sheetViews>
    <sheetView showGridLines="0" showRowColHeaders="0" zoomScaleNormal="100" zoomScaleSheetLayoutView="100" workbookViewId="0"/>
  </sheetViews>
  <sheetFormatPr defaultColWidth="0" defaultRowHeight="14.25" zeroHeight="1" x14ac:dyDescent="0.2"/>
  <cols>
    <col min="1" max="1" width="5.7109375" style="580" customWidth="1"/>
    <col min="2" max="2" width="18.42578125" style="580" customWidth="1"/>
    <col min="3" max="3" width="4.28515625" style="580" customWidth="1"/>
    <col min="4" max="4" width="12.140625" style="581" customWidth="1"/>
    <col min="5" max="5" width="4.140625" style="580" customWidth="1"/>
    <col min="6" max="6" width="9.140625" style="580" customWidth="1"/>
    <col min="7" max="7" width="3.7109375" style="580" customWidth="1"/>
    <col min="8" max="8" width="12.7109375" style="580" customWidth="1"/>
    <col min="9" max="9" width="6.7109375" style="580" customWidth="1"/>
    <col min="10" max="10" width="14.140625" style="580" customWidth="1"/>
    <col min="11" max="11" width="4.7109375" style="580" customWidth="1"/>
    <col min="12" max="12" width="12.140625" style="580" customWidth="1"/>
    <col min="13" max="13" width="2.7109375" style="580" customWidth="1"/>
    <col min="14" max="14" width="49.7109375" style="580" customWidth="1"/>
    <col min="15" max="18" width="0" style="580" hidden="1" customWidth="1"/>
    <col min="19" max="16384" width="9.140625" style="580" hidden="1"/>
  </cols>
  <sheetData>
    <row r="1" spans="2:18" ht="15" customHeight="1" x14ac:dyDescent="0.2"/>
    <row r="2" spans="2:18" ht="15" customHeight="1" x14ac:dyDescent="0.2"/>
    <row r="3" spans="2:18" ht="15" customHeight="1" x14ac:dyDescent="0.2"/>
    <row r="4" spans="2:18" ht="15" customHeight="1" x14ac:dyDescent="0.2"/>
    <row r="5" spans="2:18" ht="15" customHeight="1" x14ac:dyDescent="0.2"/>
    <row r="6" spans="2:18" ht="15" customHeight="1" x14ac:dyDescent="0.2"/>
    <row r="7" spans="2:18" ht="18" x14ac:dyDescent="0.25">
      <c r="B7" s="582" t="s">
        <v>1352</v>
      </c>
    </row>
    <row r="8" spans="2:18" ht="18" x14ac:dyDescent="0.25">
      <c r="B8" s="582"/>
    </row>
    <row r="9" spans="2:18" x14ac:dyDescent="0.2">
      <c r="B9" s="580" t="s">
        <v>1468</v>
      </c>
      <c r="P9" s="266"/>
    </row>
    <row r="10" spans="2:18" x14ac:dyDescent="0.2">
      <c r="O10" s="583"/>
      <c r="P10" s="583"/>
      <c r="Q10" s="583"/>
      <c r="R10" s="583"/>
    </row>
    <row r="11" spans="2:18" ht="15" x14ac:dyDescent="0.25">
      <c r="B11" s="584" t="s">
        <v>1355</v>
      </c>
      <c r="C11" s="585"/>
      <c r="D11" s="586" t="s">
        <v>1354</v>
      </c>
      <c r="E11" s="585"/>
      <c r="F11" s="584" t="s">
        <v>1362</v>
      </c>
      <c r="G11" s="585"/>
      <c r="H11" s="584" t="s">
        <v>1356</v>
      </c>
      <c r="I11" s="585"/>
      <c r="J11" s="584" t="s">
        <v>1364</v>
      </c>
      <c r="K11" s="585"/>
      <c r="L11" s="584" t="s">
        <v>1366</v>
      </c>
      <c r="M11" s="585"/>
      <c r="N11" s="584" t="s">
        <v>1353</v>
      </c>
      <c r="O11" s="583"/>
      <c r="P11" s="583"/>
      <c r="Q11" s="583"/>
      <c r="R11" s="583"/>
    </row>
    <row r="12" spans="2:18" x14ac:dyDescent="0.2"/>
    <row r="13" spans="2:18" ht="15" x14ac:dyDescent="0.25">
      <c r="B13" s="587" t="s">
        <v>1357</v>
      </c>
      <c r="D13" s="581" t="s">
        <v>1358</v>
      </c>
      <c r="F13" s="580" t="s">
        <v>1173</v>
      </c>
      <c r="H13" s="580" t="s">
        <v>1363</v>
      </c>
      <c r="J13" s="580" t="s">
        <v>1365</v>
      </c>
      <c r="L13" s="580" t="s">
        <v>226</v>
      </c>
      <c r="N13" s="580" t="s">
        <v>1367</v>
      </c>
    </row>
    <row r="14" spans="2:18" x14ac:dyDescent="0.2">
      <c r="D14" s="581" t="s">
        <v>1359</v>
      </c>
      <c r="N14" s="580" t="s">
        <v>1369</v>
      </c>
    </row>
    <row r="15" spans="2:18" x14ac:dyDescent="0.2">
      <c r="D15" s="581" t="s">
        <v>1360</v>
      </c>
      <c r="N15" s="580" t="s">
        <v>1368</v>
      </c>
    </row>
    <row r="16" spans="2:18" x14ac:dyDescent="0.2">
      <c r="N16" s="583" t="s">
        <v>1370</v>
      </c>
    </row>
    <row r="17" spans="2:14" x14ac:dyDescent="0.2">
      <c r="N17" s="580" t="s">
        <v>1375</v>
      </c>
    </row>
    <row r="18" spans="2:14" x14ac:dyDescent="0.2">
      <c r="B18" s="588"/>
      <c r="C18" s="588"/>
      <c r="D18" s="589" t="s">
        <v>1361</v>
      </c>
      <c r="E18" s="588"/>
      <c r="F18" s="588"/>
      <c r="G18" s="588"/>
      <c r="H18" s="588"/>
      <c r="I18" s="588"/>
      <c r="J18" s="588"/>
      <c r="K18" s="588"/>
      <c r="L18" s="588"/>
      <c r="M18" s="588"/>
      <c r="N18" s="588" t="s">
        <v>1376</v>
      </c>
    </row>
    <row r="19" spans="2:14" ht="9.75" customHeight="1" x14ac:dyDescent="0.2"/>
    <row r="20" spans="2:14" ht="15" x14ac:dyDescent="0.25">
      <c r="B20" s="587" t="s">
        <v>1371</v>
      </c>
      <c r="D20" s="581" t="s">
        <v>1372</v>
      </c>
      <c r="F20" s="580" t="s">
        <v>1173</v>
      </c>
      <c r="H20" s="580" t="s">
        <v>1363</v>
      </c>
      <c r="J20" s="580" t="s">
        <v>1374</v>
      </c>
      <c r="L20" s="580" t="s">
        <v>226</v>
      </c>
      <c r="N20" s="580" t="s">
        <v>1367</v>
      </c>
    </row>
    <row r="21" spans="2:14" x14ac:dyDescent="0.2">
      <c r="D21" s="581" t="s">
        <v>1373</v>
      </c>
      <c r="N21" s="580" t="s">
        <v>1369</v>
      </c>
    </row>
    <row r="22" spans="2:14" x14ac:dyDescent="0.2">
      <c r="D22" s="581" t="s">
        <v>1360</v>
      </c>
      <c r="N22" s="580" t="s">
        <v>1368</v>
      </c>
    </row>
    <row r="23" spans="2:14" x14ac:dyDescent="0.2">
      <c r="B23" s="583"/>
      <c r="C23" s="583"/>
      <c r="D23" s="590" t="s">
        <v>1361</v>
      </c>
      <c r="E23" s="583"/>
      <c r="F23" s="583"/>
      <c r="G23" s="583"/>
      <c r="H23" s="583"/>
      <c r="I23" s="583"/>
      <c r="J23" s="583"/>
      <c r="K23" s="583"/>
      <c r="L23" s="583"/>
      <c r="M23" s="583"/>
      <c r="N23" s="583" t="s">
        <v>1370</v>
      </c>
    </row>
    <row r="24" spans="2:14" x14ac:dyDescent="0.2">
      <c r="N24" s="580" t="s">
        <v>1375</v>
      </c>
    </row>
    <row r="25" spans="2:14" x14ac:dyDescent="0.2">
      <c r="B25" s="588"/>
      <c r="C25" s="588"/>
      <c r="D25" s="589"/>
      <c r="E25" s="588"/>
      <c r="F25" s="588"/>
      <c r="G25" s="588"/>
      <c r="H25" s="588"/>
      <c r="I25" s="588"/>
      <c r="J25" s="588"/>
      <c r="K25" s="588"/>
      <c r="L25" s="588"/>
      <c r="M25" s="588"/>
      <c r="N25" s="588" t="s">
        <v>1376</v>
      </c>
    </row>
    <row r="26" spans="2:14" x14ac:dyDescent="0.2"/>
    <row r="27" spans="2:14" ht="15" x14ac:dyDescent="0.25">
      <c r="B27" s="587" t="s">
        <v>1377</v>
      </c>
      <c r="D27" s="581" t="s">
        <v>1378</v>
      </c>
      <c r="F27" s="580" t="s">
        <v>1175</v>
      </c>
      <c r="H27" s="580" t="s">
        <v>1363</v>
      </c>
      <c r="J27" s="580" t="s">
        <v>1365</v>
      </c>
      <c r="L27" s="580" t="s">
        <v>226</v>
      </c>
      <c r="N27" s="580" t="s">
        <v>1367</v>
      </c>
    </row>
    <row r="28" spans="2:14" x14ac:dyDescent="0.2">
      <c r="N28" s="580" t="s">
        <v>1369</v>
      </c>
    </row>
    <row r="29" spans="2:14" x14ac:dyDescent="0.2">
      <c r="N29" s="580" t="s">
        <v>1368</v>
      </c>
    </row>
    <row r="30" spans="2:14" x14ac:dyDescent="0.2">
      <c r="N30" s="583" t="s">
        <v>1370</v>
      </c>
    </row>
    <row r="31" spans="2:14" x14ac:dyDescent="0.2">
      <c r="N31" s="580" t="s">
        <v>1380</v>
      </c>
    </row>
    <row r="32" spans="2:14" x14ac:dyDescent="0.2">
      <c r="N32" s="583" t="s">
        <v>1376</v>
      </c>
    </row>
    <row r="33" spans="2:16" x14ac:dyDescent="0.2">
      <c r="B33" s="588"/>
      <c r="C33" s="588"/>
      <c r="D33" s="589"/>
      <c r="E33" s="588"/>
      <c r="F33" s="588"/>
      <c r="G33" s="588"/>
      <c r="H33" s="588"/>
      <c r="I33" s="588"/>
      <c r="J33" s="588"/>
      <c r="K33" s="588"/>
      <c r="L33" s="588"/>
      <c r="M33" s="588"/>
      <c r="N33" s="588" t="s">
        <v>1379</v>
      </c>
    </row>
    <row r="34" spans="2:16" x14ac:dyDescent="0.2"/>
    <row r="35" spans="2:16" ht="15" x14ac:dyDescent="0.25">
      <c r="B35" s="587" t="s">
        <v>1381</v>
      </c>
      <c r="D35" s="581" t="s">
        <v>1382</v>
      </c>
      <c r="F35" s="580" t="s">
        <v>1175</v>
      </c>
      <c r="H35" s="580" t="s">
        <v>1383</v>
      </c>
      <c r="J35" s="580" t="s">
        <v>1374</v>
      </c>
      <c r="L35" s="580" t="s">
        <v>1385</v>
      </c>
      <c r="N35" s="580" t="s">
        <v>1367</v>
      </c>
    </row>
    <row r="36" spans="2:16" x14ac:dyDescent="0.2">
      <c r="H36" s="580" t="s">
        <v>1384</v>
      </c>
      <c r="N36" s="580" t="s">
        <v>1369</v>
      </c>
    </row>
    <row r="37" spans="2:16" x14ac:dyDescent="0.2">
      <c r="N37" s="580" t="s">
        <v>1368</v>
      </c>
    </row>
    <row r="38" spans="2:16" x14ac:dyDescent="0.2">
      <c r="N38" s="583" t="s">
        <v>1370</v>
      </c>
    </row>
    <row r="39" spans="2:16" x14ac:dyDescent="0.2">
      <c r="N39" s="580" t="s">
        <v>1380</v>
      </c>
    </row>
    <row r="40" spans="2:16" x14ac:dyDescent="0.2">
      <c r="N40" s="583" t="s">
        <v>1376</v>
      </c>
    </row>
    <row r="41" spans="2:16" x14ac:dyDescent="0.2">
      <c r="D41" s="590"/>
      <c r="E41" s="583"/>
      <c r="F41" s="583"/>
      <c r="G41" s="583"/>
      <c r="H41" s="583"/>
      <c r="I41" s="583"/>
      <c r="J41" s="583"/>
      <c r="K41" s="583"/>
      <c r="L41" s="583"/>
      <c r="M41" s="583"/>
      <c r="N41" s="583" t="s">
        <v>1386</v>
      </c>
      <c r="O41" s="583"/>
      <c r="P41" s="583"/>
    </row>
    <row r="42" spans="2:16" x14ac:dyDescent="0.2">
      <c r="B42" s="588"/>
      <c r="C42" s="588"/>
      <c r="D42" s="589"/>
      <c r="E42" s="588"/>
      <c r="F42" s="588"/>
      <c r="G42" s="588"/>
      <c r="H42" s="588"/>
      <c r="I42" s="588"/>
      <c r="J42" s="588"/>
      <c r="K42" s="588"/>
      <c r="L42" s="588"/>
      <c r="M42" s="588"/>
      <c r="N42" s="588" t="s">
        <v>1387</v>
      </c>
    </row>
    <row r="43" spans="2:16" x14ac:dyDescent="0.2"/>
    <row r="44" spans="2:16" ht="15" x14ac:dyDescent="0.25">
      <c r="B44" s="587" t="s">
        <v>1388</v>
      </c>
      <c r="D44" s="581">
        <v>59</v>
      </c>
      <c r="F44" s="580" t="s">
        <v>1173</v>
      </c>
      <c r="H44" s="580" t="s">
        <v>1389</v>
      </c>
      <c r="J44" s="580" t="s">
        <v>1365</v>
      </c>
      <c r="L44" s="580" t="s">
        <v>1385</v>
      </c>
      <c r="N44" s="580" t="s">
        <v>1391</v>
      </c>
    </row>
    <row r="45" spans="2:16" x14ac:dyDescent="0.2">
      <c r="N45" s="583" t="s">
        <v>1393</v>
      </c>
    </row>
    <row r="46" spans="2:16" x14ac:dyDescent="0.2">
      <c r="N46" s="580" t="s">
        <v>1390</v>
      </c>
    </row>
    <row r="47" spans="2:16" x14ac:dyDescent="0.2">
      <c r="N47" s="580" t="s">
        <v>1392</v>
      </c>
    </row>
    <row r="48" spans="2:16" x14ac:dyDescent="0.2">
      <c r="N48" s="580" t="s">
        <v>1369</v>
      </c>
    </row>
    <row r="49" spans="2:14" x14ac:dyDescent="0.2">
      <c r="N49" s="580" t="s">
        <v>1394</v>
      </c>
    </row>
    <row r="50" spans="2:14" x14ac:dyDescent="0.2">
      <c r="B50" s="588"/>
      <c r="C50" s="588"/>
      <c r="D50" s="589"/>
      <c r="E50" s="588"/>
      <c r="F50" s="588"/>
      <c r="G50" s="588"/>
      <c r="H50" s="588"/>
      <c r="I50" s="588"/>
      <c r="J50" s="588"/>
      <c r="K50" s="588"/>
      <c r="L50" s="588"/>
      <c r="M50" s="588"/>
      <c r="N50" s="588" t="s">
        <v>1395</v>
      </c>
    </row>
    <row r="51" spans="2:14" x14ac:dyDescent="0.2">
      <c r="D51" s="590"/>
      <c r="E51" s="583"/>
      <c r="F51" s="583"/>
      <c r="G51" s="583"/>
      <c r="H51" s="583"/>
      <c r="I51" s="583"/>
      <c r="J51" s="583"/>
      <c r="K51" s="583"/>
      <c r="L51" s="583"/>
      <c r="M51" s="583"/>
      <c r="N51" s="583"/>
    </row>
    <row r="52" spans="2:14" ht="15" x14ac:dyDescent="0.25">
      <c r="B52" s="587" t="s">
        <v>1396</v>
      </c>
      <c r="D52" s="581" t="s">
        <v>1397</v>
      </c>
      <c r="F52" s="580" t="s">
        <v>1173</v>
      </c>
      <c r="H52" s="580" t="s">
        <v>1389</v>
      </c>
      <c r="J52" s="580" t="s">
        <v>1365</v>
      </c>
      <c r="L52" s="580" t="s">
        <v>1398</v>
      </c>
      <c r="N52" s="580" t="s">
        <v>1400</v>
      </c>
    </row>
    <row r="53" spans="2:14" x14ac:dyDescent="0.2">
      <c r="L53" s="580" t="s">
        <v>1399</v>
      </c>
      <c r="N53" s="583" t="s">
        <v>1404</v>
      </c>
    </row>
    <row r="54" spans="2:14" x14ac:dyDescent="0.2">
      <c r="N54" s="580" t="s">
        <v>1401</v>
      </c>
    </row>
    <row r="55" spans="2:14" x14ac:dyDescent="0.2">
      <c r="N55" s="580" t="s">
        <v>1402</v>
      </c>
    </row>
    <row r="56" spans="2:14" x14ac:dyDescent="0.2">
      <c r="B56" s="588"/>
      <c r="C56" s="588"/>
      <c r="D56" s="589"/>
      <c r="E56" s="588"/>
      <c r="F56" s="588"/>
      <c r="G56" s="588"/>
      <c r="H56" s="588"/>
      <c r="I56" s="588"/>
      <c r="J56" s="588"/>
      <c r="K56" s="588"/>
      <c r="L56" s="588"/>
      <c r="M56" s="588"/>
      <c r="N56" s="588" t="s">
        <v>1403</v>
      </c>
    </row>
    <row r="57" spans="2:14" x14ac:dyDescent="0.2">
      <c r="B57" s="583"/>
      <c r="C57" s="583"/>
      <c r="D57" s="590"/>
      <c r="E57" s="583"/>
      <c r="F57" s="583"/>
      <c r="G57" s="583"/>
      <c r="H57" s="583"/>
      <c r="I57" s="583"/>
      <c r="J57" s="583"/>
      <c r="K57" s="583"/>
      <c r="L57" s="583"/>
      <c r="M57" s="583"/>
    </row>
    <row r="58" spans="2:14" ht="15" x14ac:dyDescent="0.25">
      <c r="B58" s="587" t="s">
        <v>1405</v>
      </c>
      <c r="D58" s="581" t="s">
        <v>1406</v>
      </c>
      <c r="F58" s="580" t="s">
        <v>1173</v>
      </c>
      <c r="H58" s="580" t="s">
        <v>1389</v>
      </c>
      <c r="J58" s="580" t="s">
        <v>1365</v>
      </c>
      <c r="L58" s="580" t="s">
        <v>1385</v>
      </c>
      <c r="N58" s="580" t="s">
        <v>1408</v>
      </c>
    </row>
    <row r="59" spans="2:14" x14ac:dyDescent="0.2">
      <c r="N59" s="583" t="s">
        <v>1415</v>
      </c>
    </row>
    <row r="60" spans="2:14" x14ac:dyDescent="0.2">
      <c r="N60" s="580" t="s">
        <v>1414</v>
      </c>
    </row>
    <row r="61" spans="2:14" x14ac:dyDescent="0.2">
      <c r="N61" s="580" t="s">
        <v>1412</v>
      </c>
    </row>
    <row r="62" spans="2:14" x14ac:dyDescent="0.2">
      <c r="N62" s="580" t="s">
        <v>1410</v>
      </c>
    </row>
    <row r="63" spans="2:14" x14ac:dyDescent="0.2">
      <c r="D63" s="590"/>
      <c r="E63" s="583"/>
      <c r="F63" s="583"/>
      <c r="G63" s="583"/>
      <c r="H63" s="583"/>
      <c r="I63" s="583"/>
      <c r="J63" s="583"/>
      <c r="K63" s="583"/>
      <c r="L63" s="583"/>
      <c r="M63" s="583"/>
      <c r="N63" s="583" t="s">
        <v>1413</v>
      </c>
    </row>
    <row r="64" spans="2:14" x14ac:dyDescent="0.2">
      <c r="N64" s="580" t="s">
        <v>1411</v>
      </c>
    </row>
    <row r="65" spans="2:14" x14ac:dyDescent="0.2">
      <c r="N65" s="580" t="s">
        <v>1407</v>
      </c>
    </row>
    <row r="66" spans="2:14" x14ac:dyDescent="0.2">
      <c r="B66" s="588"/>
      <c r="C66" s="588"/>
      <c r="D66" s="589"/>
      <c r="E66" s="588"/>
      <c r="F66" s="588"/>
      <c r="G66" s="588"/>
      <c r="H66" s="588"/>
      <c r="I66" s="588"/>
      <c r="J66" s="588"/>
      <c r="K66" s="588"/>
      <c r="L66" s="588"/>
      <c r="M66" s="588"/>
      <c r="N66" s="588" t="s">
        <v>1409</v>
      </c>
    </row>
    <row r="67" spans="2:14" x14ac:dyDescent="0.2"/>
    <row r="68" spans="2:14" ht="15" x14ac:dyDescent="0.25">
      <c r="B68" s="587" t="s">
        <v>1416</v>
      </c>
      <c r="D68" s="581" t="s">
        <v>1417</v>
      </c>
      <c r="F68" s="580" t="s">
        <v>1173</v>
      </c>
      <c r="H68" s="580" t="s">
        <v>1363</v>
      </c>
      <c r="J68" s="580" t="s">
        <v>1365</v>
      </c>
      <c r="K68" s="580" t="s">
        <v>226</v>
      </c>
      <c r="N68" s="580" t="s">
        <v>1408</v>
      </c>
    </row>
    <row r="69" spans="2:14" ht="15" x14ac:dyDescent="0.25">
      <c r="B69" s="587"/>
      <c r="N69" s="580" t="s">
        <v>1412</v>
      </c>
    </row>
    <row r="70" spans="2:14" x14ac:dyDescent="0.2">
      <c r="N70" s="580" t="s">
        <v>1410</v>
      </c>
    </row>
    <row r="71" spans="2:14" x14ac:dyDescent="0.2">
      <c r="N71" s="583" t="s">
        <v>1413</v>
      </c>
    </row>
    <row r="72" spans="2:14" x14ac:dyDescent="0.2">
      <c r="N72" s="580" t="s">
        <v>1418</v>
      </c>
    </row>
    <row r="73" spans="2:14" x14ac:dyDescent="0.2">
      <c r="B73" s="588"/>
      <c r="C73" s="588"/>
      <c r="D73" s="589"/>
      <c r="E73" s="588"/>
      <c r="F73" s="588"/>
      <c r="G73" s="588"/>
      <c r="H73" s="588"/>
      <c r="I73" s="588"/>
      <c r="J73" s="588"/>
      <c r="K73" s="588"/>
      <c r="L73" s="588"/>
      <c r="M73" s="588"/>
      <c r="N73" s="588" t="s">
        <v>1407</v>
      </c>
    </row>
    <row r="74" spans="2:14" x14ac:dyDescent="0.2"/>
    <row r="75" spans="2:14" ht="15" x14ac:dyDescent="0.25">
      <c r="B75" s="587" t="s">
        <v>1419</v>
      </c>
      <c r="D75" s="581" t="s">
        <v>1420</v>
      </c>
      <c r="F75" s="580" t="s">
        <v>1173</v>
      </c>
      <c r="H75" s="580" t="s">
        <v>1363</v>
      </c>
      <c r="J75" s="580" t="s">
        <v>1374</v>
      </c>
      <c r="K75" s="580" t="s">
        <v>226</v>
      </c>
      <c r="N75" s="580" t="s">
        <v>1408</v>
      </c>
    </row>
    <row r="76" spans="2:14" x14ac:dyDescent="0.2">
      <c r="D76" s="581" t="s">
        <v>1421</v>
      </c>
      <c r="N76" s="580" t="s">
        <v>1412</v>
      </c>
    </row>
    <row r="77" spans="2:14" x14ac:dyDescent="0.2">
      <c r="N77" s="580" t="s">
        <v>1410</v>
      </c>
    </row>
    <row r="78" spans="2:14" x14ac:dyDescent="0.2">
      <c r="N78" s="583" t="s">
        <v>1413</v>
      </c>
    </row>
    <row r="79" spans="2:14" x14ac:dyDescent="0.2">
      <c r="N79" s="580" t="s">
        <v>1418</v>
      </c>
    </row>
    <row r="80" spans="2:14" x14ac:dyDescent="0.2">
      <c r="B80" s="588"/>
      <c r="C80" s="588"/>
      <c r="D80" s="589"/>
      <c r="E80" s="588"/>
      <c r="F80" s="588"/>
      <c r="G80" s="588"/>
      <c r="H80" s="588"/>
      <c r="I80" s="588"/>
      <c r="J80" s="588"/>
      <c r="K80" s="588"/>
      <c r="L80" s="588"/>
      <c r="M80" s="588"/>
      <c r="N80" s="588" t="s">
        <v>1407</v>
      </c>
    </row>
    <row r="81" spans="2:14" x14ac:dyDescent="0.2"/>
    <row r="82" spans="2:14" ht="15" x14ac:dyDescent="0.25">
      <c r="B82" s="587" t="s">
        <v>1422</v>
      </c>
      <c r="D82" s="581" t="s">
        <v>1423</v>
      </c>
      <c r="F82" s="580" t="s">
        <v>1173</v>
      </c>
      <c r="H82" s="580" t="s">
        <v>1389</v>
      </c>
      <c r="J82" s="580" t="s">
        <v>1365</v>
      </c>
      <c r="K82" s="580" t="s">
        <v>226</v>
      </c>
      <c r="N82" s="580" t="s">
        <v>1414</v>
      </c>
    </row>
    <row r="83" spans="2:14" x14ac:dyDescent="0.2">
      <c r="N83" s="580" t="s">
        <v>1412</v>
      </c>
    </row>
    <row r="84" spans="2:14" x14ac:dyDescent="0.2">
      <c r="N84" s="583" t="s">
        <v>1413</v>
      </c>
    </row>
    <row r="85" spans="2:14" x14ac:dyDescent="0.2">
      <c r="B85" s="588"/>
      <c r="C85" s="588"/>
      <c r="D85" s="589"/>
      <c r="E85" s="588"/>
      <c r="F85" s="588"/>
      <c r="G85" s="588"/>
      <c r="H85" s="588"/>
      <c r="I85" s="588"/>
      <c r="J85" s="588"/>
      <c r="K85" s="588"/>
      <c r="L85" s="588"/>
      <c r="M85" s="588"/>
      <c r="N85" s="588" t="s">
        <v>1424</v>
      </c>
    </row>
    <row r="86" spans="2:14" x14ac:dyDescent="0.2"/>
    <row r="87" spans="2:14" ht="15" x14ac:dyDescent="0.25">
      <c r="B87" s="587" t="s">
        <v>1425</v>
      </c>
      <c r="D87" s="581" t="s">
        <v>1426</v>
      </c>
      <c r="F87" s="580" t="s">
        <v>1173</v>
      </c>
      <c r="H87" s="580" t="s">
        <v>1389</v>
      </c>
      <c r="J87" s="580" t="s">
        <v>1365</v>
      </c>
      <c r="K87" s="580" t="s">
        <v>226</v>
      </c>
      <c r="N87" s="580" t="s">
        <v>1412</v>
      </c>
    </row>
    <row r="88" spans="2:14" x14ac:dyDescent="0.2">
      <c r="N88" s="580" t="s">
        <v>1410</v>
      </c>
    </row>
    <row r="89" spans="2:14" x14ac:dyDescent="0.2">
      <c r="N89" s="583" t="s">
        <v>1428</v>
      </c>
    </row>
    <row r="90" spans="2:14" x14ac:dyDescent="0.2">
      <c r="B90" s="588"/>
      <c r="C90" s="588"/>
      <c r="D90" s="589"/>
      <c r="E90" s="588"/>
      <c r="F90" s="588"/>
      <c r="G90" s="588"/>
      <c r="H90" s="588"/>
      <c r="I90" s="588"/>
      <c r="J90" s="588"/>
      <c r="K90" s="588"/>
      <c r="L90" s="588"/>
      <c r="M90" s="588"/>
      <c r="N90" s="588" t="s">
        <v>1427</v>
      </c>
    </row>
    <row r="91" spans="2:14" x14ac:dyDescent="0.2"/>
    <row r="92" spans="2:14" ht="15" x14ac:dyDescent="0.25">
      <c r="B92" s="587" t="s">
        <v>1429</v>
      </c>
      <c r="D92" s="581" t="s">
        <v>1430</v>
      </c>
      <c r="F92" s="580" t="s">
        <v>1173</v>
      </c>
      <c r="H92" s="580" t="s">
        <v>1389</v>
      </c>
      <c r="J92" s="580" t="s">
        <v>1374</v>
      </c>
      <c r="K92" s="580" t="s">
        <v>226</v>
      </c>
      <c r="N92" s="580" t="s">
        <v>1367</v>
      </c>
    </row>
    <row r="93" spans="2:14" x14ac:dyDescent="0.2">
      <c r="N93" s="580" t="s">
        <v>1412</v>
      </c>
    </row>
    <row r="94" spans="2:14" x14ac:dyDescent="0.2">
      <c r="N94" s="580" t="s">
        <v>1432</v>
      </c>
    </row>
    <row r="95" spans="2:14" x14ac:dyDescent="0.2">
      <c r="N95" s="583" t="s">
        <v>1428</v>
      </c>
    </row>
    <row r="96" spans="2:14" x14ac:dyDescent="0.2">
      <c r="N96" s="580" t="s">
        <v>1433</v>
      </c>
    </row>
    <row r="97" spans="2:14" x14ac:dyDescent="0.2">
      <c r="B97" s="588"/>
      <c r="C97" s="588"/>
      <c r="D97" s="589"/>
      <c r="E97" s="588"/>
      <c r="F97" s="588"/>
      <c r="G97" s="588"/>
      <c r="H97" s="588"/>
      <c r="I97" s="588"/>
      <c r="J97" s="588"/>
      <c r="K97" s="588"/>
      <c r="L97" s="588"/>
      <c r="M97" s="588"/>
      <c r="N97" s="588" t="s">
        <v>1431</v>
      </c>
    </row>
    <row r="98" spans="2:14" x14ac:dyDescent="0.2"/>
    <row r="99" spans="2:14" x14ac:dyDescent="0.2"/>
    <row r="100" spans="2:14" x14ac:dyDescent="0.2"/>
    <row r="101" spans="2:14" ht="15" x14ac:dyDescent="0.25">
      <c r="B101" s="591" t="s">
        <v>1434</v>
      </c>
    </row>
    <row r="102" spans="2:14" ht="15" x14ac:dyDescent="0.25">
      <c r="B102" s="592" t="s">
        <v>1435</v>
      </c>
    </row>
    <row r="103" spans="2:14" ht="15" x14ac:dyDescent="0.25">
      <c r="B103" s="592" t="s">
        <v>1436</v>
      </c>
      <c r="D103" s="580"/>
    </row>
    <row r="104" spans="2:14" ht="15" x14ac:dyDescent="0.25">
      <c r="B104" s="592" t="s">
        <v>1437</v>
      </c>
    </row>
    <row r="105" spans="2:14" x14ac:dyDescent="0.2"/>
    <row r="106" spans="2:14" ht="15" x14ac:dyDescent="0.25">
      <c r="B106" s="580" t="s">
        <v>1464</v>
      </c>
    </row>
    <row r="107" spans="2:14" x14ac:dyDescent="0.2"/>
    <row r="108" spans="2:14" ht="15" x14ac:dyDescent="0.25">
      <c r="B108" s="591" t="s">
        <v>1438</v>
      </c>
      <c r="D108" s="580"/>
    </row>
    <row r="109" spans="2:14" ht="15" x14ac:dyDescent="0.25">
      <c r="B109" s="592" t="s">
        <v>1441</v>
      </c>
      <c r="D109" s="580"/>
    </row>
    <row r="110" spans="2:14" x14ac:dyDescent="0.2">
      <c r="B110" s="592" t="s">
        <v>1439</v>
      </c>
      <c r="D110" s="580"/>
    </row>
    <row r="111" spans="2:14" x14ac:dyDescent="0.2">
      <c r="B111" s="592" t="s">
        <v>1440</v>
      </c>
    </row>
    <row r="112" spans="2:14" x14ac:dyDescent="0.2">
      <c r="B112" s="592"/>
      <c r="D112" s="580"/>
    </row>
    <row r="113" spans="2:4" ht="15" x14ac:dyDescent="0.25">
      <c r="B113" s="592" t="s">
        <v>1443</v>
      </c>
      <c r="D113" s="580"/>
    </row>
    <row r="114" spans="2:4" x14ac:dyDescent="0.2">
      <c r="B114" s="592" t="s">
        <v>1442</v>
      </c>
    </row>
    <row r="115" spans="2:4" x14ac:dyDescent="0.2">
      <c r="B115" s="592"/>
      <c r="D115" s="580"/>
    </row>
    <row r="116" spans="2:4" ht="15" x14ac:dyDescent="0.25">
      <c r="B116" s="592" t="s">
        <v>1445</v>
      </c>
      <c r="D116" s="580"/>
    </row>
    <row r="117" spans="2:4" x14ac:dyDescent="0.2">
      <c r="B117" s="592" t="s">
        <v>1444</v>
      </c>
    </row>
    <row r="118" spans="2:4" x14ac:dyDescent="0.2">
      <c r="B118" s="592"/>
      <c r="D118" s="580"/>
    </row>
    <row r="119" spans="2:4" ht="15" x14ac:dyDescent="0.25">
      <c r="B119" s="592" t="s">
        <v>1446</v>
      </c>
    </row>
    <row r="120" spans="2:4" x14ac:dyDescent="0.2">
      <c r="B120" s="592"/>
      <c r="D120" s="580"/>
    </row>
    <row r="121" spans="2:4" ht="15" x14ac:dyDescent="0.25">
      <c r="B121" s="592" t="s">
        <v>1448</v>
      </c>
      <c r="D121" s="580"/>
    </row>
    <row r="122" spans="2:4" x14ac:dyDescent="0.2">
      <c r="B122" s="592" t="s">
        <v>1447</v>
      </c>
    </row>
    <row r="123" spans="2:4" x14ac:dyDescent="0.2">
      <c r="B123" s="592"/>
      <c r="D123" s="580"/>
    </row>
    <row r="124" spans="2:4" ht="15" x14ac:dyDescent="0.25">
      <c r="B124" s="592" t="s">
        <v>1450</v>
      </c>
      <c r="D124" s="580"/>
    </row>
    <row r="125" spans="2:4" x14ac:dyDescent="0.2">
      <c r="B125" s="592" t="s">
        <v>1449</v>
      </c>
    </row>
    <row r="126" spans="2:4" x14ac:dyDescent="0.2">
      <c r="B126" s="592"/>
      <c r="D126" s="580"/>
    </row>
    <row r="127" spans="2:4" ht="15" x14ac:dyDescent="0.25">
      <c r="B127" s="592" t="s">
        <v>1452</v>
      </c>
      <c r="D127" s="580"/>
    </row>
    <row r="128" spans="2:4" x14ac:dyDescent="0.2">
      <c r="B128" s="592" t="s">
        <v>1451</v>
      </c>
    </row>
    <row r="129" spans="2:4" x14ac:dyDescent="0.2"/>
    <row r="130" spans="2:4" ht="15" x14ac:dyDescent="0.25">
      <c r="B130" s="591" t="s">
        <v>1453</v>
      </c>
      <c r="D130" s="580"/>
    </row>
    <row r="131" spans="2:4" ht="15" x14ac:dyDescent="0.25">
      <c r="B131" s="592" t="s">
        <v>1454</v>
      </c>
      <c r="D131" s="580"/>
    </row>
    <row r="132" spans="2:4" x14ac:dyDescent="0.2">
      <c r="B132" s="592" t="s">
        <v>1455</v>
      </c>
    </row>
    <row r="133" spans="2:4" x14ac:dyDescent="0.2">
      <c r="B133" s="592"/>
      <c r="D133" s="580"/>
    </row>
    <row r="134" spans="2:4" ht="15" x14ac:dyDescent="0.25">
      <c r="B134" s="592" t="s">
        <v>1456</v>
      </c>
    </row>
    <row r="135" spans="2:4" x14ac:dyDescent="0.2">
      <c r="B135" s="592"/>
      <c r="D135" s="580"/>
    </row>
    <row r="136" spans="2:4" ht="15" x14ac:dyDescent="0.25">
      <c r="B136" s="592" t="s">
        <v>1459</v>
      </c>
      <c r="D136" s="580"/>
    </row>
    <row r="137" spans="2:4" x14ac:dyDescent="0.2">
      <c r="B137" s="592" t="s">
        <v>1457</v>
      </c>
      <c r="D137" s="580"/>
    </row>
    <row r="138" spans="2:4" x14ac:dyDescent="0.2">
      <c r="B138" s="592" t="s">
        <v>1458</v>
      </c>
    </row>
    <row r="139" spans="2:4" x14ac:dyDescent="0.2">
      <c r="B139" s="592"/>
      <c r="D139" s="580"/>
    </row>
    <row r="140" spans="2:4" ht="15" x14ac:dyDescent="0.25">
      <c r="B140" s="592" t="s">
        <v>1460</v>
      </c>
    </row>
    <row r="141" spans="2:4" x14ac:dyDescent="0.2">
      <c r="B141" s="592"/>
      <c r="D141" s="580"/>
    </row>
    <row r="142" spans="2:4" ht="15" x14ac:dyDescent="0.25">
      <c r="B142" s="592" t="s">
        <v>1462</v>
      </c>
      <c r="D142" s="580"/>
    </row>
    <row r="143" spans="2:4" x14ac:dyDescent="0.2">
      <c r="B143" s="592" t="s">
        <v>1463</v>
      </c>
      <c r="D143" s="580"/>
    </row>
    <row r="144" spans="2:4" x14ac:dyDescent="0.2">
      <c r="B144" s="593" t="s">
        <v>1461</v>
      </c>
    </row>
    <row r="145" spans="2:2" x14ac:dyDescent="0.2"/>
    <row r="146" spans="2:2" x14ac:dyDescent="0.2"/>
    <row r="147" spans="2:2" ht="15" x14ac:dyDescent="0.25">
      <c r="B147" s="580" t="s">
        <v>1465</v>
      </c>
    </row>
    <row r="148" spans="2:2" x14ac:dyDescent="0.2"/>
  </sheetData>
  <sheetProtection algorithmName="SHA-512" hashValue="iMHabRbX86sy9eEic3kV1WvzSQYsw5ewmAyP6vvzRSVRVT0szGq4jthFm3xuyf9IhbtRkV43+9UYbUwWcq1j+A==" saltValue="IBiIu1Kl9ApW8lVpjl9lMw==" spinCount="100000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59" fitToHeight="2" orientation="portrait" r:id="rId1"/>
  <rowBreaks count="1" manualBreakCount="1">
    <brk id="99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9">
    <pageSetUpPr fitToPage="1"/>
  </sheetPr>
  <dimension ref="A1:P35"/>
  <sheetViews>
    <sheetView showGridLines="0" showRowColHeaders="0" zoomScaleNormal="100" zoomScaleSheetLayoutView="10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2095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G7" s="55"/>
      <c r="H7" s="264" t="s">
        <v>2066</v>
      </c>
      <c r="I7" s="55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HYPERLINK("#"&amp;"'PlantioForm'!h1","Plantio e formação")</f>
        <v>Plantio e formação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HYPERLINK("#"&amp;"'ConilonProd'!h1","Lavoura em produção")</f>
        <v>Lavoura em produção</v>
      </c>
      <c r="G10" s="711"/>
      <c r="H10" s="711"/>
      <c r="I10" s="711"/>
      <c r="J10" s="711"/>
    </row>
    <row r="11" spans="1:16" ht="24.95" customHeight="1" thickTop="1" thickBot="1" x14ac:dyDescent="0.25">
      <c r="F11" s="711" t="str">
        <f>HYPERLINK("#"&amp;"'RecomendacaoMicro'!h1","Recomendação de micronutrientes")</f>
        <v>Recomendação de micronutrientes</v>
      </c>
      <c r="G11" s="711"/>
      <c r="H11" s="711"/>
      <c r="I11" s="711"/>
      <c r="J11" s="711"/>
    </row>
    <row r="12" spans="1:16" ht="24.95" customHeight="1" thickTop="1" thickBot="1" x14ac:dyDescent="0.25">
      <c r="F12" s="711" t="str">
        <f>HYPERLINK("#"&amp;"'AmostragemCafe'!h1","Técnica de amostragem")</f>
        <v>Técnica de amostragem</v>
      </c>
      <c r="G12" s="711"/>
      <c r="H12" s="711"/>
      <c r="I12" s="711"/>
      <c r="J12" s="711"/>
    </row>
    <row r="13" spans="1:16" s="32" customFormat="1" ht="24.95" customHeight="1" thickTop="1" thickBot="1" x14ac:dyDescent="0.4">
      <c r="F13" s="711" t="str">
        <f>HYPERLINK("#"&amp;"'ConilonFert'!h1","Fertirrigação do Café Conilon")</f>
        <v>Fertirrigação do Café Conilon</v>
      </c>
      <c r="G13" s="711"/>
      <c r="H13" s="711"/>
      <c r="I13" s="711"/>
      <c r="J13" s="711"/>
    </row>
    <row r="14" spans="1:16" s="32" customFormat="1" ht="24.95" customHeight="1" thickTop="1" thickBot="1" x14ac:dyDescent="0.4">
      <c r="F14" s="711" t="str">
        <f>HYPERLINK("#"&amp;"'InfoConilon'!h1","Informações agronômicas")</f>
        <v>Informações agronômicas</v>
      </c>
      <c r="G14" s="711"/>
      <c r="H14" s="711"/>
      <c r="I14" s="711"/>
      <c r="J14" s="711"/>
    </row>
    <row r="15" spans="1:16" ht="24.95" customHeight="1" thickTop="1" thickBot="1" x14ac:dyDescent="0.25">
      <c r="E15" s="36"/>
      <c r="F15" s="711" t="str">
        <f>HYPERLINK("#"&amp;"'ConilonCusteio'!h1","Custeio simplificado")</f>
        <v>Custeio simplificado</v>
      </c>
      <c r="G15" s="711"/>
      <c r="H15" s="711"/>
      <c r="I15" s="711"/>
      <c r="J15" s="711"/>
    </row>
    <row r="16" spans="1:16" ht="24.95" customHeight="1" thickTop="1" x14ac:dyDescent="0.2"/>
    <row r="17" ht="24.95" hidden="1" customHeight="1" x14ac:dyDescent="0.2"/>
    <row r="18" s="34" customFormat="1" ht="24.95" hidden="1" customHeight="1" x14ac:dyDescent="0.2"/>
    <row r="19" s="34" customFormat="1" ht="24.95" hidden="1" customHeight="1" x14ac:dyDescent="0.2"/>
    <row r="20" s="34" customFormat="1" ht="24.95" hidden="1" customHeight="1" x14ac:dyDescent="0.2"/>
    <row r="21" s="34" customFormat="1" ht="24.95" hidden="1" customHeight="1" x14ac:dyDescent="0.2"/>
    <row r="22" s="34" customFormat="1" ht="24.95" hidden="1" customHeight="1" x14ac:dyDescent="0.2"/>
    <row r="23" ht="24.95" hidden="1" customHeight="1" x14ac:dyDescent="0.2"/>
    <row r="24" ht="24.95" hidden="1" customHeight="1" x14ac:dyDescent="0.2"/>
    <row r="25" ht="24.95" hidden="1" customHeight="1" x14ac:dyDescent="0.2"/>
    <row r="26" ht="24.95" hidden="1" customHeight="1" x14ac:dyDescent="0.2"/>
    <row r="27" ht="24.95" hidden="1" customHeight="1" x14ac:dyDescent="0.2"/>
    <row r="28" ht="24.95" hidden="1" customHeight="1" x14ac:dyDescent="0.2"/>
    <row r="29" ht="24.95" hidden="1" customHeight="1" x14ac:dyDescent="0.2"/>
    <row r="30" ht="24.95" hidden="1" customHeight="1" x14ac:dyDescent="0.2"/>
    <row r="31" ht="24.95" hidden="1" customHeight="1" x14ac:dyDescent="0.2"/>
    <row r="32" ht="24.95" hidden="1" customHeight="1" x14ac:dyDescent="0.2"/>
    <row r="33" ht="24.95" hidden="1" customHeight="1" x14ac:dyDescent="0.2"/>
    <row r="34" ht="24.95" hidden="1" customHeight="1" x14ac:dyDescent="0.2"/>
    <row r="35" ht="24.95" hidden="1" customHeight="1" x14ac:dyDescent="0.2"/>
  </sheetData>
  <sheetProtection algorithmName="SHA-512" hashValue="nzmu33TaWFHRuVO4BSlL279RonAxE3VM7opFsqmPMCEva51/OxPhRUvAPrp+Y8DCK1fApKfmK88B0D5vOVIYOw==" saltValue="+JBDoNaSHAVQ68iCsTjNhg==" spinCount="100000" sheet="1" objects="1" scenarios="1"/>
  <mergeCells count="9">
    <mergeCell ref="F13:J13"/>
    <mergeCell ref="F14:J14"/>
    <mergeCell ref="F15:J15"/>
    <mergeCell ref="F11:J11"/>
    <mergeCell ref="C6:N6"/>
    <mergeCell ref="F8:J8"/>
    <mergeCell ref="F9:J9"/>
    <mergeCell ref="F10:J10"/>
    <mergeCell ref="F12:J12"/>
  </mergeCells>
  <phoneticPr fontId="0" type="noConversion"/>
  <hyperlinks>
    <hyperlink ref="K8" location="Culturas!B5" display="Voltar"/>
  </hyperlinks>
  <printOptions horizontalCentered="1"/>
  <pageMargins left="0.78740157480314965" right="0.78740157480314965" top="0.78740157480314965" bottom="0.78740157480314965" header="0.51181102362204722" footer="0.51181102362204722"/>
  <pageSetup scale="80" orientation="portrait" horizontalDpi="360" verticalDpi="36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0">
    <pageSetUpPr fitToPage="1"/>
  </sheetPr>
  <dimension ref="A1:AE60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x14ac:dyDescent="0.2"/>
  <cols>
    <col min="1" max="16" width="9.140625" style="266" customWidth="1"/>
    <col min="17" max="24" width="9.140625" style="266" hidden="1" customWidth="1"/>
    <col min="25" max="31" width="0" style="266" hidden="1" customWidth="1"/>
    <col min="32" max="16384" width="9.140625" style="266" hidden="1"/>
  </cols>
  <sheetData>
    <row r="1" spans="1:31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31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31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31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31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31" ht="24.95" customHeight="1" x14ac:dyDescent="0.2">
      <c r="D6" s="699" t="s">
        <v>2101</v>
      </c>
      <c r="E6" s="699"/>
      <c r="F6" s="699"/>
      <c r="G6" s="699"/>
      <c r="H6" s="699"/>
      <c r="I6" s="699"/>
      <c r="J6" s="699"/>
      <c r="K6" s="699"/>
      <c r="L6" s="699"/>
      <c r="M6" s="699"/>
      <c r="V6" s="49"/>
      <c r="W6" s="49"/>
      <c r="X6" s="49"/>
      <c r="Y6" s="49"/>
      <c r="Z6" s="49"/>
    </row>
    <row r="7" spans="1:31" s="429" customFormat="1" ht="15" customHeight="1" x14ac:dyDescent="0.35">
      <c r="A7" s="266"/>
      <c r="B7" s="266"/>
      <c r="C7" s="266"/>
      <c r="D7" s="266"/>
      <c r="E7" s="266"/>
      <c r="F7" s="266"/>
      <c r="G7" s="235"/>
      <c r="H7" s="235"/>
      <c r="I7" s="235"/>
      <c r="J7" s="235"/>
      <c r="K7" s="235"/>
      <c r="L7" s="235"/>
      <c r="M7" s="266"/>
      <c r="N7" s="266"/>
      <c r="O7" s="266"/>
      <c r="P7" s="266"/>
      <c r="Q7" s="428"/>
      <c r="R7" s="428"/>
      <c r="Z7" s="49"/>
      <c r="AA7" s="266"/>
      <c r="AB7" s="266"/>
    </row>
    <row r="8" spans="1:31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  <c r="Q8" s="207"/>
      <c r="R8" s="324"/>
      <c r="V8" s="49"/>
      <c r="W8" s="49"/>
      <c r="X8" s="49"/>
      <c r="Y8" s="49"/>
      <c r="Z8" s="49"/>
    </row>
    <row r="9" spans="1:31" ht="15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V9" s="26"/>
      <c r="W9" s="26"/>
      <c r="X9" s="26"/>
      <c r="Y9" s="26"/>
      <c r="Z9" s="49"/>
    </row>
    <row r="10" spans="1:31" ht="15" customHeight="1" x14ac:dyDescent="0.25"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476"/>
      <c r="V10" s="26"/>
      <c r="W10" s="26"/>
      <c r="X10" s="312"/>
      <c r="Y10" s="312"/>
      <c r="Z10" s="312"/>
      <c r="AA10" s="476"/>
      <c r="AB10" s="207"/>
      <c r="AC10" s="27"/>
    </row>
    <row r="11" spans="1:31" ht="15" customHeight="1" x14ac:dyDescent="0.2">
      <c r="D11" s="292" t="s">
        <v>671</v>
      </c>
      <c r="E11" s="296"/>
      <c r="F11" s="296"/>
      <c r="G11" s="237">
        <v>3</v>
      </c>
      <c r="H11" s="298" t="s">
        <v>2070</v>
      </c>
      <c r="I11" s="237">
        <v>1</v>
      </c>
      <c r="J11" s="464" t="s">
        <v>2100</v>
      </c>
      <c r="K11" s="571">
        <f>(10000/(G11*I11))</f>
        <v>3333.3333333333335</v>
      </c>
      <c r="L11" s="266" t="s">
        <v>353</v>
      </c>
      <c r="V11" s="26"/>
      <c r="W11" s="171">
        <f>IF(G17&lt;=10,G17,10)</f>
        <v>1.5</v>
      </c>
      <c r="X11" s="26" t="s">
        <v>110</v>
      </c>
      <c r="Y11" s="26"/>
      <c r="Z11" s="49"/>
      <c r="AA11" s="806"/>
      <c r="AB11" s="806"/>
      <c r="AC11" s="806"/>
    </row>
    <row r="12" spans="1:31" ht="15" customHeight="1" x14ac:dyDescent="0.2">
      <c r="D12" s="296" t="s">
        <v>431</v>
      </c>
      <c r="E12" s="296"/>
      <c r="F12" s="296"/>
      <c r="G12" s="5">
        <v>50</v>
      </c>
      <c r="H12" s="280" t="s">
        <v>434</v>
      </c>
      <c r="K12" s="27"/>
      <c r="L12" s="27"/>
      <c r="V12" s="26"/>
      <c r="W12" s="325">
        <f>226.417+2.465*G12-10.975*W11</f>
        <v>333.20450000000005</v>
      </c>
      <c r="X12" s="273" t="s">
        <v>343</v>
      </c>
      <c r="Y12" s="26"/>
      <c r="Z12" s="49"/>
      <c r="AA12" s="281"/>
    </row>
    <row r="13" spans="1:31" ht="15" customHeight="1" x14ac:dyDescent="0.2">
      <c r="D13" s="266" t="s">
        <v>566</v>
      </c>
      <c r="G13" s="21">
        <v>3350</v>
      </c>
      <c r="H13" s="280" t="s">
        <v>1972</v>
      </c>
      <c r="J13" s="256" t="s">
        <v>1969</v>
      </c>
      <c r="K13" s="563">
        <f>ROUND(G13/K11,2)</f>
        <v>1.01</v>
      </c>
      <c r="L13" s="572" t="s">
        <v>1970</v>
      </c>
      <c r="V13" s="26"/>
      <c r="W13" s="325"/>
      <c r="X13" s="273"/>
      <c r="Y13" s="26"/>
      <c r="Z13" s="49"/>
      <c r="AA13" s="281"/>
    </row>
    <row r="14" spans="1:31" ht="15" customHeight="1" x14ac:dyDescent="0.2">
      <c r="G14" s="573"/>
      <c r="H14" s="281"/>
      <c r="J14" s="280"/>
      <c r="L14" s="27"/>
      <c r="M14" s="27"/>
      <c r="V14" s="26"/>
      <c r="W14" s="325"/>
      <c r="X14" s="273"/>
      <c r="Y14" s="26"/>
      <c r="Z14" s="49"/>
      <c r="AB14" s="281"/>
    </row>
    <row r="15" spans="1:31" ht="15" customHeight="1" x14ac:dyDescent="0.2">
      <c r="D15" s="281" t="s">
        <v>1703</v>
      </c>
      <c r="E15" s="296"/>
      <c r="F15" s="296"/>
      <c r="G15" s="5">
        <v>4</v>
      </c>
      <c r="H15" s="356" t="s">
        <v>1953</v>
      </c>
      <c r="J15" s="280"/>
      <c r="M15" s="208"/>
      <c r="V15" s="26"/>
      <c r="W15" s="325">
        <f xml:space="preserve"> IF(W12&gt;0,W12,0)*0.9</f>
        <v>299.88405000000006</v>
      </c>
      <c r="X15" s="273" t="s">
        <v>14</v>
      </c>
      <c r="Y15" s="26"/>
      <c r="Z15" s="49"/>
      <c r="AB15" s="281"/>
      <c r="AD15" s="208"/>
    </row>
    <row r="16" spans="1:31" ht="15" customHeight="1" x14ac:dyDescent="0.2">
      <c r="D16" s="296"/>
      <c r="E16" s="296"/>
      <c r="F16" s="296"/>
      <c r="G16" s="5">
        <v>80</v>
      </c>
      <c r="H16" s="356" t="s">
        <v>1933</v>
      </c>
      <c r="J16" s="280"/>
      <c r="M16" s="208"/>
      <c r="V16" s="26"/>
      <c r="W16" s="26"/>
      <c r="X16" s="26"/>
      <c r="Y16" s="26"/>
      <c r="Z16" s="49"/>
      <c r="AB16" s="806"/>
      <c r="AC16" s="806"/>
      <c r="AD16" s="806"/>
      <c r="AE16" s="806"/>
    </row>
    <row r="17" spans="4:31" ht="15" customHeight="1" x14ac:dyDescent="0.3">
      <c r="D17" s="296"/>
      <c r="E17" s="296"/>
      <c r="F17" s="296"/>
      <c r="G17" s="5">
        <v>1.5</v>
      </c>
      <c r="H17" s="292" t="s">
        <v>1963</v>
      </c>
      <c r="J17" s="280"/>
      <c r="V17" s="26"/>
      <c r="W17" s="325">
        <f>(189+0.537*G12-8.26*G15-2.1*G18)-(W11*2)</f>
        <v>123.11</v>
      </c>
      <c r="X17" s="273" t="s">
        <v>721</v>
      </c>
      <c r="Y17" s="26"/>
      <c r="Z17" s="49"/>
      <c r="AB17" s="275"/>
    </row>
    <row r="18" spans="4:31" ht="15" customHeight="1" x14ac:dyDescent="0.3">
      <c r="D18" s="296"/>
      <c r="E18" s="296"/>
      <c r="F18" s="296"/>
      <c r="G18" s="5">
        <v>27</v>
      </c>
      <c r="H18" s="292" t="s">
        <v>1966</v>
      </c>
      <c r="J18" s="280"/>
      <c r="V18" s="26"/>
      <c r="W18" s="325">
        <f>IF(W17&gt;0,W17,0)*0.8</f>
        <v>98.488</v>
      </c>
      <c r="X18" s="273" t="s">
        <v>15</v>
      </c>
      <c r="Y18" s="26"/>
      <c r="Z18" s="49"/>
      <c r="AB18" s="275"/>
      <c r="AD18" s="281"/>
    </row>
    <row r="19" spans="4:31" ht="15" customHeight="1" x14ac:dyDescent="0.2">
      <c r="D19" s="283"/>
      <c r="E19" s="283"/>
      <c r="F19" s="283"/>
      <c r="G19" s="237">
        <v>30</v>
      </c>
      <c r="H19" s="356" t="s">
        <v>1929</v>
      </c>
      <c r="J19" s="290"/>
      <c r="K19" s="283"/>
      <c r="V19" s="26"/>
      <c r="W19" s="26"/>
      <c r="X19" s="26"/>
      <c r="Y19" s="26"/>
      <c r="Z19" s="49"/>
      <c r="AD19" s="281"/>
    </row>
    <row r="20" spans="4:31" ht="15" customHeight="1" x14ac:dyDescent="0.3">
      <c r="D20" s="275"/>
      <c r="E20" s="275"/>
      <c r="F20" s="275"/>
      <c r="G20" s="5">
        <v>7</v>
      </c>
      <c r="H20" s="356" t="s">
        <v>1934</v>
      </c>
      <c r="J20" s="290"/>
      <c r="K20" s="275"/>
      <c r="M20" s="574"/>
      <c r="V20" s="26"/>
      <c r="W20" s="325">
        <f>(236.47+2.381*G12-1.21*G16)-(W11*3)</f>
        <v>254.21999999999997</v>
      </c>
      <c r="X20" s="273" t="s">
        <v>13</v>
      </c>
      <c r="Y20" s="26"/>
      <c r="Z20" s="49"/>
      <c r="AB20" s="275"/>
      <c r="AD20" s="281"/>
    </row>
    <row r="21" spans="4:31" ht="15" customHeight="1" x14ac:dyDescent="0.3">
      <c r="J21" s="290"/>
      <c r="K21" s="283"/>
      <c r="L21" s="49"/>
      <c r="V21" s="26"/>
      <c r="W21" s="325">
        <f>IF(W20&gt;0,W20,0)*0.9</f>
        <v>228.79799999999997</v>
      </c>
      <c r="X21" s="273" t="s">
        <v>16</v>
      </c>
      <c r="Y21" s="26"/>
      <c r="Z21" s="49"/>
      <c r="AB21" s="275"/>
      <c r="AD21" s="281"/>
    </row>
    <row r="22" spans="4:31" ht="15" customHeight="1" x14ac:dyDescent="0.2">
      <c r="D22" s="273" t="s">
        <v>340</v>
      </c>
      <c r="E22" s="283"/>
      <c r="F22" s="283"/>
      <c r="G22" s="237">
        <v>90</v>
      </c>
      <c r="H22" s="49" t="s">
        <v>341</v>
      </c>
      <c r="L22" s="356"/>
      <c r="V22" s="26"/>
      <c r="W22" s="171">
        <v>20</v>
      </c>
      <c r="X22" s="325">
        <f>ROUND((H28*100)/W25,)</f>
        <v>7</v>
      </c>
      <c r="Y22" s="325">
        <f>ROUND((H29*100)/W25,)</f>
        <v>15</v>
      </c>
      <c r="Z22" s="49"/>
      <c r="AA22" s="218"/>
      <c r="AC22" s="208"/>
      <c r="AD22" s="281"/>
    </row>
    <row r="23" spans="4:31" ht="15" customHeight="1" x14ac:dyDescent="0.2">
      <c r="D23" s="273"/>
      <c r="E23" s="283"/>
      <c r="F23" s="283"/>
      <c r="G23" s="263"/>
      <c r="H23" s="49"/>
      <c r="L23" s="356"/>
      <c r="V23" s="26"/>
      <c r="W23" s="171"/>
      <c r="X23" s="325"/>
      <c r="Y23" s="325"/>
      <c r="Z23" s="49"/>
      <c r="AA23" s="218"/>
      <c r="AC23" s="208"/>
      <c r="AD23" s="281"/>
    </row>
    <row r="24" spans="4:31" ht="15" customHeight="1" x14ac:dyDescent="0.25">
      <c r="D24" s="291" t="s">
        <v>371</v>
      </c>
      <c r="E24" s="275"/>
      <c r="F24" s="275"/>
      <c r="G24" s="281"/>
      <c r="H24" s="281"/>
      <c r="I24" s="281"/>
      <c r="J24" s="280"/>
      <c r="V24" s="26"/>
      <c r="W24" s="26"/>
      <c r="X24" s="26"/>
      <c r="Y24" s="26"/>
      <c r="Z24" s="49"/>
      <c r="AC24" s="208"/>
      <c r="AD24" s="281"/>
    </row>
    <row r="25" spans="4:31" ht="15" customHeight="1" x14ac:dyDescent="0.2">
      <c r="E25" s="277" t="s">
        <v>573</v>
      </c>
      <c r="H25" s="220">
        <f>IF(W27&gt;0,W27,0)</f>
        <v>2.3333333333333335</v>
      </c>
      <c r="I25" s="273" t="s">
        <v>1967</v>
      </c>
      <c r="J25" s="465"/>
      <c r="K25" s="208"/>
      <c r="L25" s="280"/>
      <c r="V25" s="49"/>
      <c r="W25" s="26">
        <f>(H27*100)/W22</f>
        <v>1499.4202500000004</v>
      </c>
      <c r="X25" s="26" t="s">
        <v>790</v>
      </c>
      <c r="Y25" s="49"/>
      <c r="Z25" s="26"/>
      <c r="AD25" s="208"/>
      <c r="AE25" s="283"/>
    </row>
    <row r="26" spans="4:31" ht="15" customHeight="1" x14ac:dyDescent="0.2">
      <c r="E26" s="277"/>
      <c r="F26" s="220"/>
      <c r="G26" s="280"/>
      <c r="I26" s="171"/>
      <c r="J26" s="465"/>
      <c r="K26" s="208"/>
      <c r="L26" s="280"/>
      <c r="V26" s="49"/>
      <c r="W26" s="26"/>
      <c r="X26" s="26"/>
      <c r="Y26" s="49"/>
      <c r="Z26" s="26"/>
      <c r="AD26" s="208"/>
      <c r="AE26" s="283"/>
    </row>
    <row r="27" spans="4:31" ht="15" customHeight="1" x14ac:dyDescent="0.2">
      <c r="E27" s="169" t="s">
        <v>568</v>
      </c>
      <c r="F27" s="169"/>
      <c r="G27" s="169"/>
      <c r="H27" s="224">
        <f>W15</f>
        <v>299.88405000000006</v>
      </c>
      <c r="I27" s="273" t="s">
        <v>569</v>
      </c>
      <c r="K27" s="279"/>
      <c r="N27" s="279"/>
      <c r="O27" s="279"/>
      <c r="V27" s="49"/>
      <c r="W27" s="315">
        <f xml:space="preserve"> G20*(60-G19)/G22</f>
        <v>2.3333333333333335</v>
      </c>
      <c r="X27" s="26" t="s">
        <v>1130</v>
      </c>
      <c r="Y27" s="49"/>
      <c r="Z27" s="26"/>
      <c r="AC27" s="208"/>
      <c r="AD27" s="224"/>
      <c r="AE27" s="275"/>
    </row>
    <row r="28" spans="4:31" ht="15" customHeight="1" x14ac:dyDescent="0.2">
      <c r="H28" s="224">
        <f>W18</f>
        <v>98.488</v>
      </c>
      <c r="I28" s="273" t="s">
        <v>1923</v>
      </c>
      <c r="K28" s="279"/>
      <c r="N28" s="279"/>
      <c r="O28" s="279"/>
      <c r="V28" s="49"/>
      <c r="W28" s="26"/>
      <c r="X28" s="325"/>
      <c r="Y28" s="49"/>
      <c r="Z28" s="325"/>
      <c r="AA28" s="279"/>
      <c r="AB28" s="279"/>
      <c r="AC28" s="208"/>
      <c r="AD28" s="208"/>
      <c r="AE28" s="208"/>
    </row>
    <row r="29" spans="4:31" ht="15" customHeight="1" x14ac:dyDescent="0.2">
      <c r="H29" s="224">
        <f>W21</f>
        <v>228.79799999999997</v>
      </c>
      <c r="I29" s="273" t="s">
        <v>1924</v>
      </c>
      <c r="K29" s="279"/>
      <c r="N29" s="279"/>
      <c r="O29" s="279"/>
      <c r="V29" s="49"/>
      <c r="W29" s="26"/>
      <c r="X29" s="325"/>
      <c r="Y29" s="49"/>
      <c r="Z29" s="325"/>
      <c r="AA29" s="279"/>
      <c r="AB29" s="279"/>
      <c r="AC29" s="208"/>
      <c r="AD29" s="208"/>
      <c r="AE29" s="208"/>
    </row>
    <row r="30" spans="4:31" ht="15" customHeight="1" x14ac:dyDescent="0.2">
      <c r="H30" s="296"/>
      <c r="I30" s="171"/>
      <c r="J30" s="208"/>
      <c r="K30" s="208"/>
      <c r="L30" s="280"/>
      <c r="V30" s="49"/>
      <c r="W30" s="26"/>
      <c r="X30" s="26"/>
      <c r="Y30" s="49"/>
      <c r="Z30" s="26"/>
      <c r="AC30" s="208"/>
      <c r="AD30" s="208"/>
      <c r="AE30" s="208"/>
    </row>
    <row r="31" spans="4:31" ht="15" customHeight="1" x14ac:dyDescent="0.2">
      <c r="E31" s="277" t="s">
        <v>572</v>
      </c>
      <c r="F31" s="277"/>
      <c r="G31" s="277"/>
      <c r="V31" s="49"/>
      <c r="W31" s="26"/>
      <c r="X31" s="26"/>
      <c r="Y31" s="49"/>
      <c r="Z31" s="26"/>
    </row>
    <row r="32" spans="4:31" ht="15" customHeight="1" x14ac:dyDescent="0.2">
      <c r="E32" s="273" t="s">
        <v>1968</v>
      </c>
      <c r="F32" s="277"/>
      <c r="G32" s="277"/>
      <c r="H32" s="237">
        <v>3</v>
      </c>
      <c r="L32" s="263"/>
      <c r="V32" s="49"/>
      <c r="W32" s="26"/>
      <c r="X32" s="26"/>
      <c r="Y32" s="49"/>
      <c r="Z32" s="26"/>
    </row>
    <row r="33" spans="4:29" ht="15" customHeight="1" x14ac:dyDescent="0.2">
      <c r="V33" s="49"/>
      <c r="W33" s="26"/>
      <c r="X33" s="315"/>
      <c r="Y33" s="49"/>
      <c r="Z33" s="26"/>
    </row>
    <row r="34" spans="4:29" s="281" customFormat="1" ht="15" customHeight="1" x14ac:dyDescent="0.2">
      <c r="E34" s="575" t="s">
        <v>31</v>
      </c>
      <c r="F34" s="257">
        <v>1</v>
      </c>
      <c r="G34" s="170" t="str">
        <f>"Aplicação de "&amp;W34&amp;" g/planta de Superfosfato Simples."</f>
        <v>Aplicação de 148 g/planta de Superfosfato Simples.</v>
      </c>
      <c r="I34" s="276"/>
      <c r="J34" s="169"/>
      <c r="K34" s="169"/>
      <c r="L34" s="219"/>
      <c r="M34" s="219"/>
      <c r="N34" s="219"/>
      <c r="O34" s="305"/>
      <c r="V34" s="170"/>
      <c r="W34" s="273">
        <f>ROUND(((H28*5)/K11)*1000,)</f>
        <v>148</v>
      </c>
      <c r="X34" s="273"/>
      <c r="Y34" s="170"/>
      <c r="Z34" s="273"/>
    </row>
    <row r="35" spans="4:29" s="281" customFormat="1" ht="15" customHeight="1" x14ac:dyDescent="0.2">
      <c r="E35" s="305"/>
      <c r="F35" s="257">
        <f>H32</f>
        <v>3</v>
      </c>
      <c r="G35" s="170" t="str">
        <f>"Aplicações de "&amp;W35&amp;" g/planta de 20 - 0 - "&amp;Y22&amp;"."</f>
        <v>Aplicações de 150 g/planta de 20 - 0 - 15.</v>
      </c>
      <c r="I35" s="224"/>
      <c r="J35" s="169"/>
      <c r="K35" s="169"/>
      <c r="L35" s="222"/>
      <c r="M35" s="257"/>
      <c r="N35" s="276"/>
      <c r="O35" s="305"/>
      <c r="V35" s="170"/>
      <c r="W35" s="273">
        <f>ROUND((((W15*5)/K11)*1000)/H32,)</f>
        <v>150</v>
      </c>
      <c r="X35" s="273"/>
      <c r="Y35" s="170"/>
      <c r="Z35" s="273"/>
    </row>
    <row r="36" spans="4:29" s="281" customFormat="1" ht="15" customHeight="1" x14ac:dyDescent="0.2">
      <c r="E36" s="305"/>
      <c r="F36" s="257"/>
      <c r="G36" s="170"/>
      <c r="I36" s="276"/>
      <c r="J36" s="169"/>
      <c r="K36" s="169"/>
      <c r="L36" s="219"/>
      <c r="M36" s="219"/>
      <c r="N36" s="219"/>
      <c r="O36" s="305"/>
      <c r="P36" s="256"/>
      <c r="V36" s="170"/>
      <c r="W36" s="273"/>
      <c r="X36" s="273"/>
      <c r="Y36" s="170"/>
      <c r="Z36" s="273"/>
    </row>
    <row r="37" spans="4:29" s="281" customFormat="1" ht="15" customHeight="1" x14ac:dyDescent="0.2">
      <c r="E37" s="575" t="s">
        <v>32</v>
      </c>
      <c r="F37" s="257">
        <f>H32</f>
        <v>3</v>
      </c>
      <c r="G37" s="170" t="str">
        <f>"Aplicações de "&amp;W35&amp;" g/planta de "&amp;W22&amp;" - "&amp;X22&amp;" - "&amp;Y22&amp;"."</f>
        <v>Aplicações de 150 g/planta de 20 - 7 - 15.</v>
      </c>
      <c r="I37" s="325"/>
      <c r="J37" s="49"/>
      <c r="K37" s="49"/>
      <c r="L37" s="171"/>
      <c r="M37" s="256"/>
      <c r="N37" s="350"/>
      <c r="O37" s="170"/>
      <c r="V37" s="170"/>
      <c r="W37" s="273"/>
      <c r="X37" s="273"/>
      <c r="Y37" s="170"/>
      <c r="Z37" s="273"/>
    </row>
    <row r="38" spans="4:29" s="281" customFormat="1" ht="15" customHeight="1" x14ac:dyDescent="0.2">
      <c r="E38" s="305"/>
      <c r="G38" s="257"/>
      <c r="H38" s="256"/>
      <c r="I38" s="325"/>
      <c r="J38" s="49"/>
      <c r="K38" s="49"/>
      <c r="L38" s="171"/>
      <c r="M38" s="256"/>
      <c r="N38" s="350"/>
      <c r="O38" s="170"/>
      <c r="V38" s="170"/>
      <c r="W38" s="273"/>
      <c r="X38" s="273"/>
      <c r="Y38" s="170"/>
      <c r="Z38" s="273"/>
    </row>
    <row r="39" spans="4:29" s="281" customFormat="1" ht="15" customHeight="1" x14ac:dyDescent="0.2">
      <c r="E39" s="305"/>
      <c r="G39" s="257"/>
      <c r="H39" s="303"/>
      <c r="I39" s="224"/>
      <c r="J39" s="213"/>
      <c r="K39" s="213"/>
      <c r="L39" s="222"/>
      <c r="M39" s="257"/>
      <c r="N39" s="276"/>
      <c r="O39" s="305"/>
      <c r="V39" s="170"/>
      <c r="W39" s="273"/>
      <c r="X39" s="273"/>
      <c r="Y39" s="170"/>
      <c r="Z39" s="273"/>
    </row>
    <row r="40" spans="4:29" ht="15" customHeight="1" x14ac:dyDescent="0.2">
      <c r="E40" s="219" t="s">
        <v>1471</v>
      </c>
      <c r="F40" s="219"/>
      <c r="G40" s="219"/>
      <c r="M40" s="272"/>
      <c r="N40" s="272"/>
      <c r="O40" s="272"/>
      <c r="V40" s="49"/>
      <c r="W40" s="272"/>
      <c r="X40" s="272"/>
      <c r="Y40" s="49"/>
      <c r="Z40" s="272"/>
      <c r="AA40" s="272"/>
      <c r="AB40" s="272"/>
      <c r="AC40" s="289"/>
    </row>
    <row r="41" spans="4:29" s="281" customFormat="1" ht="15" customHeight="1" x14ac:dyDescent="0.2">
      <c r="E41" s="216" t="s">
        <v>585</v>
      </c>
      <c r="F41" s="216"/>
      <c r="G41" s="216"/>
      <c r="H41" s="255" t="s">
        <v>575</v>
      </c>
      <c r="I41" s="576"/>
      <c r="J41" s="576"/>
      <c r="K41" s="255" t="str">
        <f>"Área do talhão: "&amp;K13&amp;" ha"</f>
        <v>Área do talhão: 1,01 ha</v>
      </c>
      <c r="L41" s="217"/>
      <c r="M41" s="220"/>
      <c r="N41" s="27"/>
      <c r="O41" s="27"/>
      <c r="V41" s="170"/>
      <c r="W41" s="26" t="s">
        <v>585</v>
      </c>
      <c r="X41" s="26"/>
      <c r="Y41" s="170"/>
      <c r="Z41" s="26"/>
      <c r="AA41" s="27"/>
      <c r="AB41" s="263"/>
    </row>
    <row r="42" spans="4:29" s="281" customFormat="1" ht="15" customHeight="1" x14ac:dyDescent="0.2">
      <c r="E42" s="27" t="s">
        <v>394</v>
      </c>
      <c r="F42" s="27"/>
      <c r="G42" s="27"/>
      <c r="H42" s="218">
        <f>(((W35*K11)/1000)/50)*H32</f>
        <v>30</v>
      </c>
      <c r="J42" s="263"/>
      <c r="K42" s="577">
        <f>H42*K13</f>
        <v>30.3</v>
      </c>
      <c r="M42" s="578"/>
      <c r="N42" s="263"/>
      <c r="O42" s="263"/>
      <c r="V42" s="170"/>
      <c r="W42" s="325">
        <f>(H28*5)/50</f>
        <v>9.8488000000000007</v>
      </c>
      <c r="X42" s="273" t="s">
        <v>839</v>
      </c>
      <c r="Y42" s="170"/>
      <c r="Z42" s="171"/>
      <c r="AA42" s="263"/>
      <c r="AB42" s="283"/>
    </row>
    <row r="43" spans="4:29" s="281" customFormat="1" ht="15" customHeight="1" x14ac:dyDescent="0.2">
      <c r="E43" s="27" t="s">
        <v>840</v>
      </c>
      <c r="F43" s="27"/>
      <c r="G43" s="27"/>
      <c r="H43" s="218">
        <f>W42</f>
        <v>9.8488000000000007</v>
      </c>
      <c r="J43" s="263"/>
      <c r="K43" s="577">
        <f>H43*K13</f>
        <v>9.9472880000000004</v>
      </c>
      <c r="M43" s="578"/>
      <c r="N43" s="263"/>
      <c r="O43" s="263"/>
      <c r="V43" s="170"/>
      <c r="W43" s="171"/>
      <c r="X43" s="273"/>
      <c r="Y43" s="170"/>
      <c r="Z43" s="171"/>
      <c r="AA43" s="263"/>
      <c r="AB43" s="283"/>
    </row>
    <row r="44" spans="4:29" s="281" customFormat="1" ht="15" customHeight="1" x14ac:dyDescent="0.2">
      <c r="E44" s="27" t="s">
        <v>396</v>
      </c>
      <c r="F44" s="27"/>
      <c r="G44" s="27"/>
      <c r="H44" s="218">
        <f>H25*1000/50</f>
        <v>46.666666666666671</v>
      </c>
      <c r="J44" s="263"/>
      <c r="K44" s="577">
        <f>H44*K13</f>
        <v>47.13333333333334</v>
      </c>
      <c r="M44" s="578"/>
      <c r="N44" s="263"/>
      <c r="O44" s="263"/>
      <c r="V44" s="170"/>
      <c r="W44" s="171"/>
      <c r="X44" s="171"/>
      <c r="Y44" s="170"/>
      <c r="Z44" s="171"/>
      <c r="AA44" s="263"/>
      <c r="AB44" s="283"/>
    </row>
    <row r="45" spans="4:29" s="281" customFormat="1" ht="15" customHeight="1" x14ac:dyDescent="0.2">
      <c r="E45" s="157" t="s">
        <v>807</v>
      </c>
      <c r="F45" s="157"/>
      <c r="G45" s="157"/>
      <c r="H45" s="341"/>
      <c r="I45" s="507"/>
      <c r="J45" s="343"/>
      <c r="K45" s="579"/>
      <c r="L45" s="341"/>
      <c r="M45" s="263"/>
      <c r="N45" s="263"/>
      <c r="O45" s="263"/>
      <c r="P45" s="263"/>
      <c r="Q45" s="263"/>
      <c r="R45" s="263"/>
      <c r="S45" s="263"/>
      <c r="T45" s="283"/>
      <c r="V45" s="170"/>
      <c r="W45" s="273"/>
      <c r="X45" s="273"/>
      <c r="Y45" s="273"/>
      <c r="Z45" s="273"/>
    </row>
    <row r="46" spans="4:29" s="281" customFormat="1" ht="15" customHeight="1" x14ac:dyDescent="0.2">
      <c r="E46" s="275"/>
      <c r="F46" s="275"/>
      <c r="G46" s="275"/>
      <c r="V46" s="170"/>
      <c r="W46" s="273"/>
      <c r="X46" s="273"/>
      <c r="Y46" s="273"/>
      <c r="Z46" s="273"/>
    </row>
    <row r="47" spans="4:29" s="281" customFormat="1" ht="15" customHeight="1" x14ac:dyDescent="0.2">
      <c r="D47" s="277"/>
      <c r="E47" s="277"/>
      <c r="F47" s="275"/>
      <c r="V47" s="273"/>
      <c r="W47" s="273"/>
      <c r="X47" s="273"/>
      <c r="Y47" s="273"/>
      <c r="Z47" s="170"/>
    </row>
    <row r="48" spans="4:29" s="281" customFormat="1" ht="15" customHeight="1" x14ac:dyDescent="0.2">
      <c r="D48" s="275"/>
      <c r="E48" s="277"/>
      <c r="F48" s="275"/>
      <c r="V48" s="273"/>
      <c r="W48" s="273"/>
      <c r="X48" s="273"/>
      <c r="Y48" s="273"/>
      <c r="Z48" s="170"/>
    </row>
    <row r="49" spans="2:26" s="281" customFormat="1" ht="15" customHeight="1" x14ac:dyDescent="0.2">
      <c r="D49" s="275"/>
      <c r="E49" s="277"/>
      <c r="F49" s="275"/>
      <c r="V49" s="273"/>
      <c r="W49" s="273"/>
      <c r="X49" s="273"/>
      <c r="Y49" s="273"/>
      <c r="Z49" s="170"/>
    </row>
    <row r="50" spans="2:26" s="281" customFormat="1" ht="15" customHeight="1" x14ac:dyDescent="0.2">
      <c r="D50" s="275"/>
      <c r="E50" s="277"/>
      <c r="F50" s="275"/>
      <c r="V50" s="273"/>
      <c r="W50" s="273"/>
      <c r="X50" s="273"/>
      <c r="Y50" s="273"/>
      <c r="Z50" s="170"/>
    </row>
    <row r="51" spans="2:26" s="281" customFormat="1" ht="15" customHeight="1" x14ac:dyDescent="0.2">
      <c r="D51" s="275"/>
      <c r="E51" s="277"/>
      <c r="F51" s="275"/>
      <c r="V51" s="273"/>
      <c r="W51" s="273"/>
      <c r="X51" s="273"/>
      <c r="Y51" s="273"/>
      <c r="Z51" s="170"/>
    </row>
    <row r="52" spans="2:26" s="281" customFormat="1" ht="15" customHeight="1" x14ac:dyDescent="0.2">
      <c r="D52" s="275"/>
      <c r="E52" s="277"/>
      <c r="F52" s="275"/>
      <c r="V52" s="170"/>
      <c r="W52" s="170"/>
      <c r="X52" s="170"/>
      <c r="Y52" s="170"/>
      <c r="Z52" s="170"/>
    </row>
    <row r="53" spans="2:26" s="281" customFormat="1" ht="15" customHeight="1" x14ac:dyDescent="0.2">
      <c r="D53" s="275"/>
      <c r="E53" s="275"/>
      <c r="F53" s="275"/>
      <c r="V53" s="170"/>
      <c r="W53" s="170"/>
      <c r="X53" s="170"/>
      <c r="Y53" s="170"/>
      <c r="Z53" s="170"/>
    </row>
    <row r="54" spans="2:26" s="60" customFormat="1" ht="15" customHeight="1" x14ac:dyDescent="0.2">
      <c r="C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</row>
    <row r="55" spans="2:26" ht="15" customHeight="1" x14ac:dyDescent="0.2">
      <c r="C55" s="27"/>
      <c r="D55" s="213"/>
      <c r="E55" s="213" t="s">
        <v>891</v>
      </c>
      <c r="F55" s="807"/>
      <c r="G55" s="807"/>
      <c r="H55" s="304" t="s">
        <v>35</v>
      </c>
      <c r="I55" s="304"/>
      <c r="J55" s="304"/>
      <c r="K55" s="213"/>
      <c r="L55" s="304"/>
      <c r="M55" s="304"/>
      <c r="N55" s="304"/>
      <c r="O55" s="304"/>
      <c r="P55" s="304"/>
      <c r="Q55" s="304"/>
      <c r="R55" s="304"/>
      <c r="T55" s="27"/>
    </row>
    <row r="56" spans="2:26" ht="15" customHeight="1" x14ac:dyDescent="0.2">
      <c r="C56" s="27"/>
      <c r="D56" s="213"/>
      <c r="E56" s="213"/>
      <c r="F56" s="213"/>
      <c r="G56" s="304"/>
      <c r="I56" s="304"/>
      <c r="J56" s="304"/>
      <c r="K56" s="213"/>
      <c r="L56" s="304"/>
      <c r="M56" s="304"/>
      <c r="N56" s="304"/>
      <c r="O56" s="304"/>
      <c r="P56" s="304"/>
      <c r="Q56" s="304"/>
      <c r="R56" s="304"/>
      <c r="T56" s="27"/>
    </row>
    <row r="57" spans="2:26" ht="15" customHeight="1" x14ac:dyDescent="0.2">
      <c r="C57" s="27"/>
      <c r="D57" s="213"/>
      <c r="E57" s="213"/>
      <c r="F57" s="213"/>
      <c r="G57" s="304"/>
      <c r="H57" s="267"/>
      <c r="I57" s="267"/>
      <c r="J57" s="267"/>
      <c r="K57" s="267"/>
      <c r="L57" s="267"/>
      <c r="M57" s="267"/>
      <c r="N57" s="267"/>
      <c r="O57" s="304"/>
      <c r="P57" s="304"/>
      <c r="Q57" s="304"/>
      <c r="R57" s="304"/>
      <c r="T57" s="27"/>
    </row>
    <row r="58" spans="2:26" ht="15" customHeight="1" x14ac:dyDescent="0.2">
      <c r="C58" s="27"/>
      <c r="D58" s="213"/>
      <c r="E58" s="213"/>
      <c r="F58" s="213"/>
      <c r="G58" s="304"/>
      <c r="H58" s="304"/>
      <c r="I58" s="304"/>
      <c r="J58" s="304"/>
      <c r="K58" s="213"/>
      <c r="L58" s="304"/>
      <c r="M58" s="304"/>
      <c r="N58" s="304"/>
      <c r="O58" s="304"/>
      <c r="P58" s="304"/>
      <c r="Q58" s="304"/>
      <c r="R58" s="304"/>
      <c r="T58" s="27"/>
    </row>
    <row r="59" spans="2:26" s="60" customFormat="1" ht="15" customHeight="1" x14ac:dyDescent="0.2">
      <c r="B59" s="267"/>
      <c r="C59" s="267"/>
      <c r="D59" s="267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</row>
    <row r="60" spans="2:26" s="60" customFormat="1" ht="15" customHeight="1" x14ac:dyDescent="0.2">
      <c r="B60" s="267"/>
      <c r="C60" s="267"/>
      <c r="D60" s="267"/>
      <c r="E60" s="267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</row>
  </sheetData>
  <sheetProtection algorithmName="SHA-512" hashValue="3z5HleeEeda2olYqxuO2nQkuRk8yOq3ca/CeWcAB5biFAVXx/v3A4whm+M1F+O6FgFdq+4c5XRHUzv7rbxnjqg==" saltValue="IOGMaTCcinCwVFn8YRsFow==" spinCount="100000" sheet="1" objects="1" scenarios="1" selectLockedCells="1"/>
  <mergeCells count="5">
    <mergeCell ref="D6:M6"/>
    <mergeCell ref="E8:M8"/>
    <mergeCell ref="AA11:AC11"/>
    <mergeCell ref="F55:G55"/>
    <mergeCell ref="AB16:AE16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fitToHeight="0" orientation="portrait" horizontalDpi="360" verticalDpi="36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9"/>
  <dimension ref="A1:AK17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1" width="9.140625" style="266" hidden="1" customWidth="1"/>
    <col min="22" max="25" width="9.140625" style="265" hidden="1" customWidth="1"/>
    <col min="26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2102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>
      <c r="H7" s="52" t="s">
        <v>2116</v>
      </c>
    </row>
    <row r="8" spans="1:25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s="429" customFormat="1" ht="15" customHeight="1" x14ac:dyDescent="0.35">
      <c r="A9" s="524"/>
      <c r="B9" s="524"/>
      <c r="C9" s="524"/>
      <c r="D9" s="227" t="s">
        <v>2103</v>
      </c>
      <c r="E9" s="693" t="s">
        <v>1498</v>
      </c>
      <c r="F9" s="696"/>
      <c r="G9" s="696"/>
      <c r="H9" s="696"/>
      <c r="I9" s="696"/>
      <c r="J9" s="696"/>
      <c r="K9" s="696"/>
      <c r="L9" s="696"/>
      <c r="M9" s="696"/>
      <c r="N9" s="428"/>
      <c r="O9" s="428"/>
      <c r="V9" s="265"/>
      <c r="W9" s="265"/>
      <c r="X9" s="525"/>
      <c r="Y9" s="525"/>
    </row>
    <row r="10" spans="1:25" ht="15" customHeight="1" x14ac:dyDescent="0.2">
      <c r="G10" s="526"/>
    </row>
    <row r="11" spans="1:25" s="164" customFormat="1" ht="15" customHeight="1" x14ac:dyDescent="0.25">
      <c r="A11" s="311"/>
      <c r="C11" s="27"/>
      <c r="D11" s="292"/>
      <c r="E11" s="296"/>
      <c r="F11" s="296"/>
      <c r="G11" s="296"/>
      <c r="H11" s="296"/>
      <c r="I11" s="296"/>
      <c r="J11" s="296"/>
      <c r="K11" s="296"/>
      <c r="L11" s="521"/>
      <c r="M11" s="521"/>
      <c r="N11" s="57"/>
      <c r="O11" s="57"/>
      <c r="V11" s="666"/>
      <c r="W11" s="666"/>
      <c r="X11" s="666"/>
      <c r="Y11" s="666"/>
    </row>
    <row r="12" spans="1:25" s="270" customFormat="1" ht="15" customHeight="1" x14ac:dyDescent="0.2">
      <c r="A12" s="266"/>
      <c r="B12" s="266"/>
      <c r="C12" s="266"/>
      <c r="D12" s="49"/>
      <c r="E12" s="266"/>
      <c r="F12" s="266"/>
      <c r="G12" s="266"/>
      <c r="H12" s="266"/>
      <c r="I12" s="266"/>
      <c r="J12" s="266"/>
      <c r="K12" s="266"/>
      <c r="L12" s="266"/>
      <c r="V12" s="268"/>
      <c r="W12" s="269"/>
      <c r="X12" s="269"/>
      <c r="Y12" s="269"/>
    </row>
    <row r="13" spans="1:25" s="270" customFormat="1" ht="15" customHeight="1" x14ac:dyDescent="0.2">
      <c r="A13" s="266"/>
      <c r="B13" s="266"/>
      <c r="C13" s="296"/>
      <c r="D13" s="292" t="s">
        <v>431</v>
      </c>
      <c r="E13" s="266"/>
      <c r="F13" s="266"/>
      <c r="G13" s="1">
        <v>60</v>
      </c>
      <c r="H13" s="273" t="s">
        <v>434</v>
      </c>
      <c r="I13" s="810"/>
      <c r="J13" s="810"/>
      <c r="K13" s="266"/>
      <c r="L13" s="266"/>
      <c r="N13" s="207"/>
      <c r="O13" s="207"/>
      <c r="P13" s="207"/>
      <c r="V13" s="269"/>
      <c r="W13" s="269"/>
      <c r="X13" s="269"/>
      <c r="Y13" s="269"/>
    </row>
    <row r="14" spans="1:25" s="270" customFormat="1" ht="15" customHeight="1" x14ac:dyDescent="0.2">
      <c r="A14" s="266"/>
      <c r="B14" s="266"/>
      <c r="C14" s="266"/>
      <c r="D14" s="49" t="s">
        <v>1499</v>
      </c>
      <c r="E14" s="281"/>
      <c r="F14" s="27"/>
      <c r="G14" s="22">
        <v>6000</v>
      </c>
      <c r="H14" s="273" t="s">
        <v>158</v>
      </c>
      <c r="I14" s="527"/>
      <c r="J14" s="527"/>
      <c r="K14" s="266"/>
      <c r="L14" s="263"/>
      <c r="N14" s="27"/>
      <c r="O14" s="890"/>
      <c r="P14" s="27"/>
      <c r="S14" s="57"/>
      <c r="T14" s="57"/>
      <c r="V14" s="269"/>
      <c r="W14" s="269"/>
      <c r="X14" s="269"/>
      <c r="Y14" s="269"/>
    </row>
    <row r="15" spans="1:25" s="270" customFormat="1" ht="15" customHeight="1" x14ac:dyDescent="0.2">
      <c r="A15" s="266"/>
      <c r="B15" s="296"/>
      <c r="C15" s="296"/>
      <c r="D15" s="296"/>
      <c r="E15" s="266"/>
      <c r="F15" s="251"/>
      <c r="G15" s="280"/>
      <c r="H15" s="266"/>
      <c r="I15" s="527"/>
      <c r="J15" s="266"/>
      <c r="K15" s="266"/>
      <c r="L15" s="263"/>
      <c r="N15" s="27"/>
      <c r="O15" s="890"/>
      <c r="P15" s="27"/>
      <c r="S15" s="57"/>
      <c r="T15" s="57"/>
      <c r="V15" s="269"/>
      <c r="W15" s="269"/>
      <c r="X15" s="269"/>
      <c r="Y15" s="269"/>
    </row>
    <row r="16" spans="1:25" s="270" customFormat="1" ht="15" customHeight="1" x14ac:dyDescent="0.2">
      <c r="A16" s="266"/>
      <c r="B16" s="266"/>
      <c r="C16" s="528"/>
      <c r="D16" s="529" t="s">
        <v>1500</v>
      </c>
      <c r="E16" s="530"/>
      <c r="F16" s="531"/>
      <c r="G16" s="532"/>
      <c r="H16" s="530"/>
      <c r="I16" s="533"/>
      <c r="J16" s="534" t="s">
        <v>1501</v>
      </c>
      <c r="K16" s="534"/>
      <c r="L16" s="281"/>
      <c r="N16" s="27"/>
      <c r="O16" s="890"/>
      <c r="P16" s="27"/>
      <c r="S16" s="57"/>
      <c r="T16" s="57"/>
      <c r="V16" s="269"/>
      <c r="W16" s="269"/>
      <c r="X16" s="269"/>
      <c r="Y16" s="269"/>
    </row>
    <row r="17" spans="1:25" s="270" customFormat="1" ht="15" customHeight="1" x14ac:dyDescent="0.2">
      <c r="A17" s="266"/>
      <c r="B17" s="266"/>
      <c r="C17" s="528"/>
      <c r="D17" s="535" t="s">
        <v>1502</v>
      </c>
      <c r="E17" s="530"/>
      <c r="F17" s="266"/>
      <c r="G17" s="23">
        <v>5.7</v>
      </c>
      <c r="H17" s="536"/>
      <c r="I17" s="533"/>
      <c r="J17" s="171" t="s">
        <v>385</v>
      </c>
      <c r="K17" s="237">
        <v>2.7</v>
      </c>
      <c r="L17" s="170" t="s">
        <v>1503</v>
      </c>
      <c r="N17" s="892">
        <v>2.7</v>
      </c>
      <c r="O17" s="891" t="s">
        <v>2420</v>
      </c>
      <c r="P17" s="27"/>
      <c r="W17" s="268">
        <f>IF(G29&lt;=10,G29,10)</f>
        <v>1.5</v>
      </c>
      <c r="X17" s="27" t="s">
        <v>110</v>
      </c>
      <c r="Y17" s="484"/>
    </row>
    <row r="18" spans="1:25" s="270" customFormat="1" ht="15" customHeight="1" x14ac:dyDescent="0.2">
      <c r="A18" s="266"/>
      <c r="B18" s="266"/>
      <c r="C18" s="296"/>
      <c r="D18" s="292" t="s">
        <v>1311</v>
      </c>
      <c r="E18" s="266"/>
      <c r="F18" s="266"/>
      <c r="G18" s="1">
        <v>9</v>
      </c>
      <c r="H18" s="273" t="s">
        <v>278</v>
      </c>
      <c r="I18" s="27"/>
      <c r="J18" s="171" t="s">
        <v>1138</v>
      </c>
      <c r="K18" s="237">
        <v>0.12</v>
      </c>
      <c r="L18" s="170" t="s">
        <v>1503</v>
      </c>
      <c r="N18" s="892">
        <v>0.12</v>
      </c>
      <c r="O18" s="891" t="s">
        <v>2421</v>
      </c>
      <c r="P18" s="27"/>
      <c r="W18" s="325">
        <f>226.417+2.465*G13-10.975*W17</f>
        <v>357.85450000000003</v>
      </c>
      <c r="X18" s="335" t="s">
        <v>343</v>
      </c>
      <c r="Y18" s="335"/>
    </row>
    <row r="19" spans="1:25" s="270" customFormat="1" ht="15" customHeight="1" x14ac:dyDescent="0.2">
      <c r="A19" s="266"/>
      <c r="B19" s="266"/>
      <c r="C19" s="296"/>
      <c r="D19" s="296" t="s">
        <v>1312</v>
      </c>
      <c r="E19" s="266"/>
      <c r="F19" s="266"/>
      <c r="G19" s="1">
        <v>100</v>
      </c>
      <c r="H19" s="273" t="s">
        <v>278</v>
      </c>
      <c r="I19" s="171"/>
      <c r="J19" s="171" t="s">
        <v>1125</v>
      </c>
      <c r="K19" s="237">
        <v>2.1</v>
      </c>
      <c r="L19" s="170" t="s">
        <v>1503</v>
      </c>
      <c r="N19" s="892">
        <v>2.1</v>
      </c>
      <c r="O19" s="891" t="s">
        <v>2422</v>
      </c>
      <c r="P19" s="27"/>
      <c r="W19" s="325">
        <f xml:space="preserve"> IF(W18&gt;0,W18,0)</f>
        <v>357.85450000000003</v>
      </c>
      <c r="X19" s="648" t="s">
        <v>343</v>
      </c>
      <c r="Y19" s="335"/>
    </row>
    <row r="20" spans="1:25" s="270" customFormat="1" ht="15" customHeight="1" x14ac:dyDescent="0.3">
      <c r="A20" s="266"/>
      <c r="B20" s="266"/>
      <c r="C20" s="296"/>
      <c r="D20" s="370" t="s">
        <v>1504</v>
      </c>
      <c r="E20" s="266"/>
      <c r="F20" s="266"/>
      <c r="G20" s="1">
        <v>1.5</v>
      </c>
      <c r="H20" s="49" t="s">
        <v>1784</v>
      </c>
      <c r="I20" s="171"/>
      <c r="J20" s="171" t="s">
        <v>1124</v>
      </c>
      <c r="K20" s="237">
        <v>1.4</v>
      </c>
      <c r="L20" s="170" t="s">
        <v>1503</v>
      </c>
      <c r="N20" s="892">
        <v>1.4</v>
      </c>
      <c r="O20" s="891" t="s">
        <v>2423</v>
      </c>
      <c r="P20" s="27"/>
      <c r="W20" s="325">
        <f>(189+0.537*G13-8.26*G18-2.1*G30)-(W17*2)</f>
        <v>70.38</v>
      </c>
      <c r="X20" s="648" t="s">
        <v>721</v>
      </c>
      <c r="Y20" s="335"/>
    </row>
    <row r="21" spans="1:25" s="270" customFormat="1" ht="15" customHeight="1" x14ac:dyDescent="0.3">
      <c r="A21" s="266"/>
      <c r="B21" s="266"/>
      <c r="C21" s="296"/>
      <c r="D21" s="296" t="s">
        <v>1505</v>
      </c>
      <c r="E21" s="266"/>
      <c r="F21" s="266"/>
      <c r="G21" s="1">
        <v>0.9</v>
      </c>
      <c r="H21" s="49" t="s">
        <v>1784</v>
      </c>
      <c r="I21" s="171"/>
      <c r="J21" s="171" t="s">
        <v>1123</v>
      </c>
      <c r="K21" s="237">
        <v>0.32</v>
      </c>
      <c r="L21" s="170" t="s">
        <v>1503</v>
      </c>
      <c r="N21" s="892">
        <v>0.32</v>
      </c>
      <c r="O21" s="891" t="s">
        <v>2424</v>
      </c>
      <c r="P21" s="27"/>
      <c r="W21" s="325">
        <f>IF(W20&gt;0,W20,0)</f>
        <v>70.38</v>
      </c>
      <c r="X21" s="648" t="s">
        <v>1506</v>
      </c>
      <c r="Y21" s="335"/>
    </row>
    <row r="22" spans="1:25" s="270" customFormat="1" ht="15" customHeight="1" x14ac:dyDescent="0.3">
      <c r="A22" s="266"/>
      <c r="B22" s="266"/>
      <c r="C22" s="296"/>
      <c r="D22" s="292" t="s">
        <v>1507</v>
      </c>
      <c r="E22" s="266"/>
      <c r="F22" s="266"/>
      <c r="G22" s="1">
        <v>10</v>
      </c>
      <c r="H22" s="273" t="s">
        <v>278</v>
      </c>
      <c r="I22" s="171"/>
      <c r="J22" s="171" t="s">
        <v>292</v>
      </c>
      <c r="K22" s="237">
        <v>0.24</v>
      </c>
      <c r="L22" s="170" t="s">
        <v>1503</v>
      </c>
      <c r="N22" s="892">
        <v>0.24</v>
      </c>
      <c r="O22" s="891" t="s">
        <v>2425</v>
      </c>
      <c r="P22" s="27"/>
      <c r="W22" s="325">
        <f>(236.47+2.381*G13-1.21*G19)-(W17*3)</f>
        <v>253.82999999999998</v>
      </c>
      <c r="X22" s="648" t="s">
        <v>13</v>
      </c>
      <c r="Y22" s="335"/>
    </row>
    <row r="23" spans="1:25" s="270" customFormat="1" ht="15" customHeight="1" x14ac:dyDescent="0.3">
      <c r="A23" s="266"/>
      <c r="B23" s="266"/>
      <c r="C23" s="296"/>
      <c r="D23" s="296" t="s">
        <v>1508</v>
      </c>
      <c r="E23" s="266"/>
      <c r="F23" s="266"/>
      <c r="G23" s="1">
        <v>1.5</v>
      </c>
      <c r="H23" s="273" t="s">
        <v>278</v>
      </c>
      <c r="I23" s="171"/>
      <c r="J23" s="171" t="s">
        <v>930</v>
      </c>
      <c r="K23" s="237">
        <v>12</v>
      </c>
      <c r="L23" s="170" t="s">
        <v>1126</v>
      </c>
      <c r="N23" s="892">
        <v>12</v>
      </c>
      <c r="O23" s="891" t="s">
        <v>2426</v>
      </c>
      <c r="P23" s="27"/>
      <c r="W23" s="218">
        <f>IF(W22&gt;0,W22,0)</f>
        <v>253.82999999999998</v>
      </c>
      <c r="X23" s="648" t="s">
        <v>13</v>
      </c>
      <c r="Y23" s="335"/>
    </row>
    <row r="24" spans="1:25" s="270" customFormat="1" ht="15" customHeight="1" x14ac:dyDescent="0.2">
      <c r="A24" s="266"/>
      <c r="B24" s="266"/>
      <c r="C24" s="296"/>
      <c r="D24" s="296" t="s">
        <v>1509</v>
      </c>
      <c r="E24" s="266"/>
      <c r="F24" s="266"/>
      <c r="G24" s="1">
        <v>0.1</v>
      </c>
      <c r="H24" s="273" t="s">
        <v>278</v>
      </c>
      <c r="I24" s="171"/>
      <c r="J24" s="171" t="s">
        <v>933</v>
      </c>
      <c r="K24" s="237">
        <v>48</v>
      </c>
      <c r="L24" s="170" t="s">
        <v>1126</v>
      </c>
      <c r="N24" s="892">
        <v>48</v>
      </c>
      <c r="O24" s="891" t="s">
        <v>2427</v>
      </c>
      <c r="P24" s="27"/>
      <c r="W24" s="325" t="str">
        <f>IF(G20&lt;2,"100",IF(AND(G20&gt;=2,G20&lt;3),"75",IF(AND(G20&gt;=3,G20&lt;4),"50",0)))</f>
        <v>100</v>
      </c>
      <c r="X24" s="648" t="s">
        <v>1510</v>
      </c>
      <c r="Y24" s="335"/>
    </row>
    <row r="25" spans="1:25" s="270" customFormat="1" ht="15" customHeight="1" x14ac:dyDescent="0.2">
      <c r="A25" s="266"/>
      <c r="B25" s="266"/>
      <c r="C25" s="296"/>
      <c r="D25" s="296" t="s">
        <v>1511</v>
      </c>
      <c r="E25" s="266"/>
      <c r="F25" s="266"/>
      <c r="G25" s="1">
        <v>0.4</v>
      </c>
      <c r="H25" s="273" t="s">
        <v>278</v>
      </c>
      <c r="I25" s="171"/>
      <c r="J25" s="171" t="s">
        <v>931</v>
      </c>
      <c r="K25" s="237">
        <v>11</v>
      </c>
      <c r="L25" s="170" t="s">
        <v>1126</v>
      </c>
      <c r="N25" s="892">
        <v>11</v>
      </c>
      <c r="O25" s="891" t="s">
        <v>2428</v>
      </c>
      <c r="P25" s="27"/>
      <c r="W25" s="325" t="str">
        <f>IF(G21&lt;0.4,"80",IF(AND(G21&gt;=0.4,G21&lt;0.8),"50",IF(AND(G21&gt;=0.8,G21&lt;1.2),"30",0)))</f>
        <v>30</v>
      </c>
      <c r="X25" s="648" t="s">
        <v>1512</v>
      </c>
      <c r="Y25" s="335"/>
    </row>
    <row r="26" spans="1:25" s="270" customFormat="1" ht="15" customHeight="1" x14ac:dyDescent="0.2">
      <c r="A26" s="266"/>
      <c r="B26" s="266"/>
      <c r="C26" s="296"/>
      <c r="D26" s="296" t="s">
        <v>1513</v>
      </c>
      <c r="E26" s="266"/>
      <c r="F26" s="266"/>
      <c r="G26" s="1">
        <v>18</v>
      </c>
      <c r="H26" s="273" t="s">
        <v>278</v>
      </c>
      <c r="I26" s="171"/>
      <c r="J26" s="171" t="s">
        <v>929</v>
      </c>
      <c r="K26" s="237">
        <v>131</v>
      </c>
      <c r="L26" s="170" t="s">
        <v>1126</v>
      </c>
      <c r="N26" s="892">
        <v>131</v>
      </c>
      <c r="O26" s="891" t="s">
        <v>2419</v>
      </c>
      <c r="P26" s="27"/>
      <c r="W26" s="325" t="str">
        <f>IF(G22&lt;20,"40",IF(AND(G22&gt;=20,G22&lt;30),"30",IF(AND(G22&gt;=30,G22&lt;40),"20",0)))</f>
        <v>40</v>
      </c>
      <c r="X26" s="648" t="s">
        <v>1514</v>
      </c>
      <c r="Y26" s="335"/>
    </row>
    <row r="27" spans="1:25" s="270" customFormat="1" ht="15" customHeight="1" x14ac:dyDescent="0.2">
      <c r="A27" s="266"/>
      <c r="B27" s="266"/>
      <c r="C27" s="296"/>
      <c r="D27" s="296" t="s">
        <v>1515</v>
      </c>
      <c r="E27" s="266"/>
      <c r="F27" s="266"/>
      <c r="G27" s="1">
        <v>4</v>
      </c>
      <c r="H27" s="273" t="s">
        <v>278</v>
      </c>
      <c r="I27" s="171"/>
      <c r="J27" s="171" t="s">
        <v>932</v>
      </c>
      <c r="K27" s="237">
        <v>69</v>
      </c>
      <c r="L27" s="170" t="s">
        <v>1126</v>
      </c>
      <c r="N27" s="892">
        <v>69</v>
      </c>
      <c r="O27" s="891" t="s">
        <v>2418</v>
      </c>
      <c r="P27" s="27"/>
      <c r="W27" s="325" t="str">
        <f>IF(G23&lt;2,"3",IF(AND(G23&gt;=2,G23&lt;4),"2",IF(AND(G23&gt;=4,G23&lt;6),"1",0)))</f>
        <v>3</v>
      </c>
      <c r="X27" s="648" t="s">
        <v>422</v>
      </c>
      <c r="Y27" s="335"/>
    </row>
    <row r="28" spans="1:25" s="270" customFormat="1" ht="15" customHeight="1" x14ac:dyDescent="0.2">
      <c r="A28" s="266"/>
      <c r="B28" s="266"/>
      <c r="C28" s="296"/>
      <c r="D28" s="266" t="s">
        <v>1516</v>
      </c>
      <c r="E28" s="266"/>
      <c r="F28" s="266"/>
      <c r="G28" s="1">
        <v>1.2</v>
      </c>
      <c r="H28" s="49" t="s">
        <v>1517</v>
      </c>
      <c r="I28" s="171"/>
      <c r="J28" s="266"/>
      <c r="K28" s="266"/>
      <c r="L28" s="266"/>
      <c r="P28" s="894" t="s">
        <v>2430</v>
      </c>
      <c r="W28" s="185" t="str">
        <f>IF(G24&lt;0.3,"3",IF(AND(G24&gt;=0.3,G24&lt;0.6),"2",IF(AND(G24&gt;=0.6,G24&lt;1),"1",0)))</f>
        <v>3</v>
      </c>
      <c r="X28" s="648" t="s">
        <v>423</v>
      </c>
      <c r="Y28" s="335"/>
    </row>
    <row r="29" spans="1:25" s="270" customFormat="1" ht="15" customHeight="1" x14ac:dyDescent="0.2">
      <c r="A29" s="266"/>
      <c r="B29" s="266"/>
      <c r="C29" s="296"/>
      <c r="D29" s="296" t="s">
        <v>976</v>
      </c>
      <c r="E29" s="266"/>
      <c r="F29" s="266"/>
      <c r="G29" s="1">
        <v>1.5</v>
      </c>
      <c r="H29" s="273" t="s">
        <v>341</v>
      </c>
      <c r="I29" s="171"/>
      <c r="K29" s="266"/>
      <c r="L29" s="281"/>
      <c r="W29" s="185" t="str">
        <f>IF(G25&lt;0.5,"3",IF(AND(G25&gt;=0.5,G25&lt;1),"2",IF(AND(G25&gt;=1,G25&lt;2),"1",0)))</f>
        <v>3</v>
      </c>
      <c r="X29" s="648" t="s">
        <v>424</v>
      </c>
      <c r="Y29" s="27"/>
    </row>
    <row r="30" spans="1:25" s="270" customFormat="1" ht="15" customHeight="1" x14ac:dyDescent="0.2">
      <c r="A30" s="266"/>
      <c r="B30" s="266"/>
      <c r="C30" s="296"/>
      <c r="D30" s="296" t="s">
        <v>898</v>
      </c>
      <c r="E30" s="266"/>
      <c r="F30" s="266"/>
      <c r="G30" s="1">
        <v>35</v>
      </c>
      <c r="H30" s="273" t="s">
        <v>977</v>
      </c>
      <c r="I30" s="266"/>
      <c r="J30" s="170" t="s">
        <v>1613</v>
      </c>
      <c r="K30" s="266"/>
      <c r="L30" s="281"/>
      <c r="W30" s="185" t="str">
        <f>IF(G26&lt;19,"15",IF(AND(G26&gt;=19,G26&lt;25),"10",IF(AND(G26&gt;=25,G26&lt;30),"5",0)))</f>
        <v>15</v>
      </c>
      <c r="X30" s="648" t="s">
        <v>1518</v>
      </c>
      <c r="Y30" s="648"/>
    </row>
    <row r="31" spans="1:25" s="270" customFormat="1" ht="15" customHeight="1" x14ac:dyDescent="0.2">
      <c r="A31" s="266"/>
      <c r="B31" s="266"/>
      <c r="C31" s="283"/>
      <c r="D31" s="283" t="s">
        <v>562</v>
      </c>
      <c r="E31" s="283"/>
      <c r="F31" s="266"/>
      <c r="G31" s="3">
        <v>30</v>
      </c>
      <c r="H31" s="49" t="s">
        <v>341</v>
      </c>
      <c r="I31" s="266"/>
      <c r="J31" s="170" t="s">
        <v>1614</v>
      </c>
      <c r="K31" s="266"/>
      <c r="L31" s="281"/>
      <c r="W31" s="185" t="str">
        <f>IF(G27&lt;5,"15",IF(AND(G27&gt;=5,G27&lt;10),"10",IF(AND(G27&gt;=10,G27&lt;15),"5",0)))</f>
        <v>15</v>
      </c>
      <c r="X31" s="648" t="s">
        <v>425</v>
      </c>
      <c r="Y31" s="648"/>
    </row>
    <row r="32" spans="1:25" s="270" customFormat="1" ht="15" customHeight="1" x14ac:dyDescent="0.3">
      <c r="A32" s="266"/>
      <c r="B32" s="266"/>
      <c r="C32" s="273"/>
      <c r="D32" s="273" t="s">
        <v>564</v>
      </c>
      <c r="E32" s="273"/>
      <c r="F32" s="266"/>
      <c r="G32" s="1">
        <v>7</v>
      </c>
      <c r="H32" s="49" t="s">
        <v>1784</v>
      </c>
      <c r="I32" s="266"/>
      <c r="J32" s="170" t="s">
        <v>2429</v>
      </c>
      <c r="K32" s="266"/>
      <c r="L32" s="281"/>
      <c r="W32" s="27"/>
      <c r="X32" s="27"/>
      <c r="Y32" s="27"/>
    </row>
    <row r="33" spans="1:25" s="270" customFormat="1" ht="15" customHeight="1" x14ac:dyDescent="0.2">
      <c r="A33" s="266"/>
      <c r="B33" s="266"/>
      <c r="C33" s="266"/>
      <c r="D33" s="266"/>
      <c r="E33" s="266"/>
      <c r="F33" s="266"/>
      <c r="G33" s="266"/>
      <c r="H33" s="266"/>
      <c r="I33" s="266"/>
      <c r="J33" s="266"/>
      <c r="K33" s="281"/>
      <c r="L33" s="281"/>
      <c r="W33" s="220">
        <f xml:space="preserve"> G32*(60-G31)/G34</f>
        <v>2.3333333333333335</v>
      </c>
      <c r="X33" s="27" t="s">
        <v>1130</v>
      </c>
      <c r="Y33" s="27"/>
    </row>
    <row r="34" spans="1:25" ht="15" customHeight="1" x14ac:dyDescent="0.2">
      <c r="C34" s="283"/>
      <c r="D34" s="283" t="s">
        <v>565</v>
      </c>
      <c r="E34" s="283"/>
      <c r="G34" s="3">
        <v>90</v>
      </c>
      <c r="H34" s="49" t="s">
        <v>341</v>
      </c>
      <c r="I34" s="281"/>
      <c r="J34" s="281"/>
      <c r="K34" s="281"/>
      <c r="L34" s="281"/>
      <c r="V34" s="266"/>
      <c r="W34" s="27"/>
      <c r="X34" s="283"/>
      <c r="Y34" s="27"/>
    </row>
    <row r="35" spans="1:25" ht="15" customHeight="1" x14ac:dyDescent="0.2">
      <c r="N35" s="218"/>
      <c r="O35" s="218"/>
      <c r="P35" s="218"/>
      <c r="Q35" s="263"/>
      <c r="R35" s="263"/>
      <c r="S35" s="171"/>
      <c r="T35" s="281"/>
    </row>
    <row r="36" spans="1:25" ht="15" customHeight="1" x14ac:dyDescent="0.2">
      <c r="D36" s="169" t="s">
        <v>2104</v>
      </c>
      <c r="M36" s="537">
        <f>G14</f>
        <v>6000</v>
      </c>
      <c r="N36" s="169" t="s">
        <v>1519</v>
      </c>
      <c r="O36" s="218"/>
      <c r="P36" s="218"/>
      <c r="Q36" s="263"/>
      <c r="R36" s="263"/>
      <c r="S36" s="171"/>
      <c r="T36" s="281"/>
    </row>
    <row r="37" spans="1:25" ht="15" customHeight="1" x14ac:dyDescent="0.2">
      <c r="N37" s="218"/>
      <c r="O37" s="218"/>
      <c r="P37" s="218"/>
      <c r="Q37" s="263"/>
      <c r="R37" s="263"/>
      <c r="S37" s="171"/>
      <c r="T37" s="281"/>
    </row>
    <row r="38" spans="1:25" ht="15" customHeight="1" x14ac:dyDescent="0.2">
      <c r="F38" s="538" t="s">
        <v>1520</v>
      </c>
      <c r="G38" s="811" t="s">
        <v>1521</v>
      </c>
      <c r="H38" s="812"/>
      <c r="I38" s="809" t="s">
        <v>1522</v>
      </c>
      <c r="J38" s="809"/>
      <c r="K38" s="49"/>
      <c r="L38" s="256"/>
      <c r="N38" s="256"/>
      <c r="O38" s="218"/>
      <c r="P38" s="218"/>
      <c r="Q38" s="263"/>
      <c r="R38" s="263"/>
      <c r="S38" s="171"/>
      <c r="T38" s="281"/>
    </row>
    <row r="39" spans="1:25" ht="15" customHeight="1" x14ac:dyDescent="0.2">
      <c r="F39" s="539" t="s">
        <v>385</v>
      </c>
      <c r="G39" s="841">
        <f>IF(K17&lt;3.2,W19,IF(AND(K17&gt;=3.2,K17&lt;4.2),W19*0.5,IF(K17&gt;=4.2,0)))</f>
        <v>357.85450000000003</v>
      </c>
      <c r="H39" s="842"/>
      <c r="I39" s="808">
        <f>G39*G14/10000</f>
        <v>214.71270000000001</v>
      </c>
      <c r="J39" s="808"/>
      <c r="K39" s="280"/>
      <c r="N39" s="310"/>
    </row>
    <row r="40" spans="1:25" ht="15" customHeight="1" x14ac:dyDescent="0.2">
      <c r="F40" s="539" t="s">
        <v>1523</v>
      </c>
      <c r="G40" s="841">
        <f>IF(K18&lt;1.16,W21,IF(AND(K18&gt;=1.16,K18&lt;1.5),W21*0.5,IF(K18&gt;=1.5,0)))</f>
        <v>70.38</v>
      </c>
      <c r="H40" s="842"/>
      <c r="I40" s="808">
        <f>G40*G14/10000</f>
        <v>42.228000000000002</v>
      </c>
      <c r="J40" s="808"/>
      <c r="K40" s="280"/>
      <c r="M40" s="325"/>
      <c r="N40" s="310"/>
      <c r="O40" s="325"/>
      <c r="P40" s="325"/>
      <c r="Q40" s="325"/>
      <c r="R40" s="325"/>
    </row>
    <row r="41" spans="1:25" ht="15" customHeight="1" x14ac:dyDescent="0.2">
      <c r="F41" s="539" t="s">
        <v>1524</v>
      </c>
      <c r="G41" s="841">
        <f>IF(K19&lt;2.2,W23,IF(AND(K19&gt;=2.9,K19&lt;2.6),W23*0.5,IF(K19&gt;=2.9,0)))</f>
        <v>253.82999999999998</v>
      </c>
      <c r="H41" s="842"/>
      <c r="I41" s="808">
        <f>G41*G14/10000</f>
        <v>152.298</v>
      </c>
      <c r="J41" s="808"/>
      <c r="K41" s="280"/>
      <c r="M41" s="325"/>
      <c r="N41" s="310"/>
      <c r="O41" s="325"/>
      <c r="P41" s="325"/>
      <c r="Q41" s="325"/>
      <c r="R41" s="325"/>
    </row>
    <row r="42" spans="1:25" ht="15" customHeight="1" x14ac:dyDescent="0.2">
      <c r="F42" s="539" t="s">
        <v>1124</v>
      </c>
      <c r="G42" s="841">
        <f>IF(K20&lt;1.3,W24,IF(AND(K20&gt;=1.3,K20&lt;1.7),W24*0.5,IF(K20&gt;=1.7,0)))</f>
        <v>50</v>
      </c>
      <c r="H42" s="842"/>
      <c r="I42" s="808">
        <f>G42*G14/10000</f>
        <v>30</v>
      </c>
      <c r="J42" s="808"/>
      <c r="K42" s="280"/>
      <c r="M42" s="325"/>
      <c r="N42" s="310"/>
      <c r="O42" s="325"/>
      <c r="P42" s="325"/>
      <c r="Q42" s="325"/>
      <c r="R42" s="325"/>
    </row>
    <row r="43" spans="1:25" ht="15" customHeight="1" x14ac:dyDescent="0.2">
      <c r="F43" s="539" t="s">
        <v>1123</v>
      </c>
      <c r="G43" s="841" t="str">
        <f>IF(K21&lt;1.45,W25,IF(AND(K21&gt;=1.45,K21&lt;1.9),W25*0.5,IF(K21&gt;=1.9,0)))</f>
        <v>30</v>
      </c>
      <c r="H43" s="842"/>
      <c r="I43" s="808">
        <f>G43*G14/10000</f>
        <v>18</v>
      </c>
      <c r="J43" s="808"/>
      <c r="K43" s="280"/>
      <c r="M43" s="325"/>
      <c r="N43" s="310"/>
      <c r="O43" s="325"/>
      <c r="P43" s="325"/>
      <c r="Q43" s="325"/>
      <c r="R43" s="325"/>
    </row>
    <row r="44" spans="1:25" ht="15" customHeight="1" x14ac:dyDescent="0.2">
      <c r="F44" s="539" t="s">
        <v>292</v>
      </c>
      <c r="G44" s="841">
        <f>IF(K22&lt;0.2,W26,IF(AND(K22&gt;=0.2,K22&lt;0.26),W26*0.5,IF(K22&gt;=0.26,0)))</f>
        <v>20</v>
      </c>
      <c r="H44" s="842"/>
      <c r="I44" s="808">
        <f>G44*G14/10000</f>
        <v>12</v>
      </c>
      <c r="J44" s="808"/>
      <c r="K44" s="280"/>
      <c r="M44" s="325"/>
      <c r="N44" s="310"/>
      <c r="O44" s="325"/>
      <c r="P44" s="325"/>
      <c r="Q44" s="325"/>
      <c r="R44" s="325"/>
    </row>
    <row r="45" spans="1:25" ht="15" customHeight="1" x14ac:dyDescent="0.2">
      <c r="F45" s="539" t="s">
        <v>930</v>
      </c>
      <c r="G45" s="841" t="str">
        <f>IF(K23&lt;20,W27,IF(AND(K23&gt;=20,K23&lt;26),W27*0.5,IF(K23&gt;=26,0)))</f>
        <v>3</v>
      </c>
      <c r="H45" s="842"/>
      <c r="I45" s="808">
        <f>G45*G14/10000</f>
        <v>1.8</v>
      </c>
      <c r="J45" s="808"/>
      <c r="K45" s="280"/>
      <c r="M45" s="325"/>
      <c r="N45" s="310"/>
      <c r="O45" s="325"/>
      <c r="P45" s="325"/>
      <c r="Q45" s="325"/>
      <c r="R45" s="325"/>
    </row>
    <row r="46" spans="1:25" ht="15" customHeight="1" x14ac:dyDescent="0.2">
      <c r="F46" s="539" t="s">
        <v>933</v>
      </c>
      <c r="G46" s="841" t="str">
        <f>IF(K24&lt;80,W28,IF(AND(K24&gt;=80,K24&lt;104),W28*0.5,IF(K24&gt;=104,0)))</f>
        <v>3</v>
      </c>
      <c r="H46" s="842"/>
      <c r="I46" s="808">
        <f>G46*G14/10000</f>
        <v>1.8</v>
      </c>
      <c r="J46" s="808"/>
      <c r="K46" s="280"/>
      <c r="M46" s="325"/>
      <c r="N46" s="310"/>
      <c r="O46" s="325"/>
      <c r="P46" s="325"/>
      <c r="Q46" s="325"/>
      <c r="R46" s="325"/>
    </row>
    <row r="47" spans="1:25" ht="15" customHeight="1" x14ac:dyDescent="0.2">
      <c r="F47" s="539" t="s">
        <v>931</v>
      </c>
      <c r="G47" s="841" t="str">
        <f>IF(K25&lt;16,W29,IF(AND(K25&gt;=16,K25&lt;20.8),W29*0.5,IF(K25&gt;=20.8,0)))</f>
        <v>3</v>
      </c>
      <c r="H47" s="842"/>
      <c r="I47" s="808">
        <f>G47*G14/10000</f>
        <v>1.8</v>
      </c>
      <c r="J47" s="808"/>
      <c r="K47" s="280"/>
      <c r="M47" s="325"/>
      <c r="N47" s="310"/>
      <c r="O47" s="325"/>
      <c r="P47" s="325"/>
      <c r="Q47" s="325"/>
      <c r="R47" s="325"/>
    </row>
    <row r="48" spans="1:25" ht="15" customHeight="1" x14ac:dyDescent="0.2">
      <c r="F48" s="539" t="s">
        <v>929</v>
      </c>
      <c r="G48" s="841">
        <f>IF(K26&lt;80,W30,IF(AND(K26&gt;=80,K26&lt;104),W30*0.5,IF(K26&gt;=104,0)))</f>
        <v>0</v>
      </c>
      <c r="H48" s="842"/>
      <c r="I48" s="808">
        <f>G48*G14/10000</f>
        <v>0</v>
      </c>
      <c r="J48" s="808"/>
      <c r="K48" s="280"/>
      <c r="M48" s="325"/>
      <c r="N48" s="310"/>
      <c r="O48" s="325"/>
      <c r="P48" s="325"/>
      <c r="Q48" s="325"/>
      <c r="R48" s="325"/>
    </row>
    <row r="49" spans="2:25" ht="15" customHeight="1" x14ac:dyDescent="0.2">
      <c r="F49" s="539" t="s">
        <v>932</v>
      </c>
      <c r="G49" s="841" t="str">
        <f>IF(K27&lt;200,W31,IF(AND(K27&gt;=200,K27&lt;260),W31*0.5,IF(K27&gt;=260,0)))</f>
        <v>15</v>
      </c>
      <c r="H49" s="842"/>
      <c r="I49" s="808">
        <f>G49*G25/10000</f>
        <v>5.9999999999999995E-4</v>
      </c>
      <c r="J49" s="808"/>
      <c r="K49" s="280"/>
      <c r="M49" s="325"/>
      <c r="N49" s="310"/>
      <c r="O49" s="325"/>
      <c r="P49" s="325"/>
      <c r="Q49" s="325"/>
      <c r="R49" s="325"/>
    </row>
    <row r="50" spans="2:25" ht="15" customHeight="1" x14ac:dyDescent="0.2">
      <c r="B50" s="49"/>
      <c r="C50" s="49"/>
      <c r="D50" s="49"/>
      <c r="E50" s="49"/>
      <c r="F50" s="325"/>
      <c r="G50" s="280"/>
      <c r="H50" s="325"/>
      <c r="I50" s="49"/>
      <c r="J50" s="325"/>
      <c r="K50" s="224"/>
      <c r="M50" s="325"/>
      <c r="N50" s="224"/>
      <c r="O50" s="325"/>
      <c r="P50" s="325"/>
      <c r="Q50" s="325"/>
      <c r="R50" s="325"/>
    </row>
    <row r="51" spans="2:25" ht="15" customHeight="1" x14ac:dyDescent="0.2">
      <c r="B51" s="169" t="s">
        <v>1525</v>
      </c>
      <c r="C51" s="49"/>
      <c r="D51" s="49"/>
      <c r="E51" s="49"/>
      <c r="F51" s="325"/>
      <c r="G51" s="280"/>
      <c r="H51" s="325"/>
      <c r="I51" s="49"/>
      <c r="J51" s="325"/>
      <c r="K51" s="224"/>
      <c r="M51" s="540">
        <f>G14</f>
        <v>6000</v>
      </c>
      <c r="N51" s="541" t="s">
        <v>1519</v>
      </c>
      <c r="O51" s="325"/>
      <c r="P51" s="325"/>
      <c r="Q51" s="325"/>
      <c r="R51" s="325"/>
    </row>
    <row r="52" spans="2:25" ht="15" customHeight="1" x14ac:dyDescent="0.2">
      <c r="B52" s="49"/>
      <c r="C52" s="49"/>
      <c r="D52" s="49"/>
      <c r="E52" s="49"/>
      <c r="F52" s="325"/>
      <c r="G52" s="280"/>
      <c r="H52" s="325"/>
      <c r="I52" s="49"/>
      <c r="J52" s="325"/>
      <c r="K52" s="224"/>
      <c r="M52" s="325"/>
      <c r="N52" s="224"/>
      <c r="O52" s="325"/>
      <c r="P52" s="325"/>
      <c r="Q52" s="325"/>
      <c r="R52" s="325"/>
    </row>
    <row r="53" spans="2:25" ht="15" customHeight="1" x14ac:dyDescent="0.2">
      <c r="B53" s="815" t="s">
        <v>1526</v>
      </c>
      <c r="C53" s="834" t="s">
        <v>1527</v>
      </c>
      <c r="D53" s="835"/>
      <c r="E53" s="811" t="s">
        <v>1528</v>
      </c>
      <c r="F53" s="743"/>
      <c r="G53" s="743"/>
      <c r="H53" s="743"/>
      <c r="I53" s="743"/>
      <c r="J53" s="812"/>
      <c r="K53" s="753" t="s">
        <v>2105</v>
      </c>
      <c r="L53" s="754"/>
      <c r="M53" s="754"/>
      <c r="N53" s="754"/>
      <c r="O53" s="754"/>
      <c r="P53" s="833"/>
      <c r="Q53" s="222"/>
      <c r="U53" s="265"/>
      <c r="Y53" s="266"/>
    </row>
    <row r="54" spans="2:25" ht="15" customHeight="1" x14ac:dyDescent="0.2">
      <c r="B54" s="815"/>
      <c r="C54" s="836"/>
      <c r="D54" s="837"/>
      <c r="E54" s="543" t="s">
        <v>385</v>
      </c>
      <c r="F54" s="543" t="s">
        <v>1523</v>
      </c>
      <c r="G54" s="543" t="s">
        <v>1524</v>
      </c>
      <c r="H54" s="544" t="s">
        <v>1124</v>
      </c>
      <c r="I54" s="544" t="s">
        <v>1123</v>
      </c>
      <c r="J54" s="544" t="s">
        <v>292</v>
      </c>
      <c r="K54" s="543" t="s">
        <v>385</v>
      </c>
      <c r="L54" s="543" t="s">
        <v>1523</v>
      </c>
      <c r="M54" s="543" t="s">
        <v>1524</v>
      </c>
      <c r="N54" s="544" t="s">
        <v>1124</v>
      </c>
      <c r="O54" s="544" t="s">
        <v>1123</v>
      </c>
      <c r="P54" s="544" t="s">
        <v>292</v>
      </c>
      <c r="Q54" s="545"/>
      <c r="U54" s="265"/>
      <c r="Y54" s="266"/>
    </row>
    <row r="55" spans="2:25" ht="15" customHeight="1" x14ac:dyDescent="0.2">
      <c r="B55" s="638">
        <v>1</v>
      </c>
      <c r="C55" s="838" t="s">
        <v>1529</v>
      </c>
      <c r="D55" s="729"/>
      <c r="E55" s="546">
        <v>10</v>
      </c>
      <c r="F55" s="638">
        <v>30</v>
      </c>
      <c r="G55" s="638">
        <v>7</v>
      </c>
      <c r="H55" s="447">
        <v>0</v>
      </c>
      <c r="I55" s="447">
        <v>40</v>
      </c>
      <c r="J55" s="547">
        <v>10</v>
      </c>
      <c r="K55" s="547">
        <f>I39*E55/100</f>
        <v>21.471270000000001</v>
      </c>
      <c r="L55" s="447">
        <f>I40*F55/100</f>
        <v>12.668400000000002</v>
      </c>
      <c r="M55" s="447">
        <f>I41*G55/100</f>
        <v>10.66086</v>
      </c>
      <c r="N55" s="547">
        <f>I42*H55/100</f>
        <v>0</v>
      </c>
      <c r="O55" s="547">
        <f>I43*I55/100</f>
        <v>7.2</v>
      </c>
      <c r="P55" s="547">
        <f>I44*J55/100</f>
        <v>1.2</v>
      </c>
      <c r="Q55" s="325"/>
      <c r="U55" s="265"/>
      <c r="Y55" s="266"/>
    </row>
    <row r="56" spans="2:25" ht="15" customHeight="1" x14ac:dyDescent="0.2">
      <c r="B56" s="638">
        <v>2</v>
      </c>
      <c r="C56" s="839"/>
      <c r="D56" s="727"/>
      <c r="E56" s="546">
        <v>10</v>
      </c>
      <c r="F56" s="638">
        <v>30</v>
      </c>
      <c r="G56" s="638">
        <v>7</v>
      </c>
      <c r="H56" s="447">
        <v>0</v>
      </c>
      <c r="I56" s="447">
        <v>30</v>
      </c>
      <c r="J56" s="547">
        <v>10</v>
      </c>
      <c r="K56" s="547">
        <f>I39*E56/100</f>
        <v>21.471270000000001</v>
      </c>
      <c r="L56" s="447">
        <f>I40*F56/100</f>
        <v>12.668400000000002</v>
      </c>
      <c r="M56" s="447">
        <f>I41*G56/100</f>
        <v>10.66086</v>
      </c>
      <c r="N56" s="547">
        <f>I42*H56/100</f>
        <v>0</v>
      </c>
      <c r="O56" s="547">
        <f>I43*I56/100</f>
        <v>5.4</v>
      </c>
      <c r="P56" s="547">
        <f>I44*J56/100</f>
        <v>1.2</v>
      </c>
      <c r="Q56" s="325"/>
      <c r="U56" s="265"/>
      <c r="Y56" s="266"/>
    </row>
    <row r="57" spans="2:25" ht="15" customHeight="1" x14ac:dyDescent="0.2">
      <c r="B57" s="638">
        <v>3</v>
      </c>
      <c r="C57" s="840"/>
      <c r="D57" s="728"/>
      <c r="E57" s="546">
        <v>10</v>
      </c>
      <c r="F57" s="638">
        <v>40</v>
      </c>
      <c r="G57" s="638">
        <v>7</v>
      </c>
      <c r="H57" s="447">
        <v>0</v>
      </c>
      <c r="I57" s="447">
        <v>30</v>
      </c>
      <c r="J57" s="547">
        <v>30</v>
      </c>
      <c r="K57" s="547">
        <f>I39*E57/100</f>
        <v>21.471270000000001</v>
      </c>
      <c r="L57" s="447">
        <f>I40*F57/100</f>
        <v>16.891200000000001</v>
      </c>
      <c r="M57" s="447">
        <f>I41*G57/100</f>
        <v>10.66086</v>
      </c>
      <c r="N57" s="547">
        <f>I42*H57/100</f>
        <v>0</v>
      </c>
      <c r="O57" s="547">
        <f>I43*I57/100</f>
        <v>5.4</v>
      </c>
      <c r="P57" s="547">
        <f>I44*J57/100</f>
        <v>3.6</v>
      </c>
      <c r="Q57" s="325"/>
      <c r="U57" s="265"/>
      <c r="Y57" s="266"/>
    </row>
    <row r="58" spans="2:25" ht="15" customHeight="1" x14ac:dyDescent="0.2">
      <c r="B58" s="638">
        <v>4</v>
      </c>
      <c r="C58" s="838" t="s">
        <v>1530</v>
      </c>
      <c r="D58" s="729"/>
      <c r="E58" s="546">
        <v>15</v>
      </c>
      <c r="F58" s="638">
        <v>0</v>
      </c>
      <c r="G58" s="638">
        <v>10</v>
      </c>
      <c r="H58" s="447">
        <v>0</v>
      </c>
      <c r="I58" s="447">
        <v>0</v>
      </c>
      <c r="J58" s="547">
        <v>40</v>
      </c>
      <c r="K58" s="547">
        <f>I39*E58/100</f>
        <v>32.206904999999999</v>
      </c>
      <c r="L58" s="447">
        <f>I40*F58/100</f>
        <v>0</v>
      </c>
      <c r="M58" s="447">
        <f>I41*G58/100</f>
        <v>15.229800000000001</v>
      </c>
      <c r="N58" s="547">
        <f>I42*H58/100</f>
        <v>0</v>
      </c>
      <c r="O58" s="547">
        <f>I43*I58/100</f>
        <v>0</v>
      </c>
      <c r="P58" s="547">
        <f>I44*J58/100</f>
        <v>4.8</v>
      </c>
      <c r="Q58" s="325"/>
      <c r="U58" s="265"/>
      <c r="Y58" s="266"/>
    </row>
    <row r="59" spans="2:25" ht="15" customHeight="1" x14ac:dyDescent="0.2">
      <c r="B59" s="638">
        <v>5</v>
      </c>
      <c r="C59" s="839"/>
      <c r="D59" s="727"/>
      <c r="E59" s="546">
        <v>15</v>
      </c>
      <c r="F59" s="638">
        <v>0</v>
      </c>
      <c r="G59" s="638">
        <v>10</v>
      </c>
      <c r="H59" s="447">
        <v>10</v>
      </c>
      <c r="I59" s="447">
        <v>0</v>
      </c>
      <c r="J59" s="547">
        <v>10</v>
      </c>
      <c r="K59" s="547">
        <f>I39*E59/100</f>
        <v>32.206904999999999</v>
      </c>
      <c r="L59" s="447">
        <f>I40*F59/100</f>
        <v>0</v>
      </c>
      <c r="M59" s="447">
        <f>I41*G59/100</f>
        <v>15.229800000000001</v>
      </c>
      <c r="N59" s="547">
        <f>I42*H59/100</f>
        <v>3</v>
      </c>
      <c r="O59" s="547">
        <f>I43*I59/100</f>
        <v>0</v>
      </c>
      <c r="P59" s="547">
        <f>I44*J59/100</f>
        <v>1.2</v>
      </c>
      <c r="Q59" s="325"/>
      <c r="U59" s="265"/>
      <c r="Y59" s="266"/>
    </row>
    <row r="60" spans="2:25" ht="15" customHeight="1" x14ac:dyDescent="0.2">
      <c r="B60" s="638">
        <v>6</v>
      </c>
      <c r="C60" s="840"/>
      <c r="D60" s="728"/>
      <c r="E60" s="546">
        <v>10</v>
      </c>
      <c r="F60" s="638">
        <v>0</v>
      </c>
      <c r="G60" s="638">
        <v>10</v>
      </c>
      <c r="H60" s="447">
        <v>10</v>
      </c>
      <c r="I60" s="447">
        <v>0</v>
      </c>
      <c r="J60" s="547">
        <v>0</v>
      </c>
      <c r="K60" s="547">
        <f>I39*E60/100</f>
        <v>21.471270000000001</v>
      </c>
      <c r="L60" s="447">
        <f>I40*F60/100</f>
        <v>0</v>
      </c>
      <c r="M60" s="447">
        <f>I41*G60/100</f>
        <v>15.229800000000001</v>
      </c>
      <c r="N60" s="547">
        <f>I42*H60/100</f>
        <v>3</v>
      </c>
      <c r="O60" s="547">
        <f>I43*I60/100</f>
        <v>0</v>
      </c>
      <c r="P60" s="547">
        <f>I44*J60/100</f>
        <v>0</v>
      </c>
      <c r="Q60" s="325"/>
      <c r="U60" s="265"/>
      <c r="Y60" s="266"/>
    </row>
    <row r="61" spans="2:25" ht="15" customHeight="1" x14ac:dyDescent="0.2">
      <c r="B61" s="638">
        <v>7</v>
      </c>
      <c r="C61" s="838" t="s">
        <v>1531</v>
      </c>
      <c r="D61" s="729"/>
      <c r="E61" s="546">
        <v>5</v>
      </c>
      <c r="F61" s="638">
        <v>0</v>
      </c>
      <c r="G61" s="638">
        <v>12</v>
      </c>
      <c r="H61" s="447">
        <v>10</v>
      </c>
      <c r="I61" s="447">
        <v>0</v>
      </c>
      <c r="J61" s="547">
        <v>0</v>
      </c>
      <c r="K61" s="547">
        <f>I39*E61/100</f>
        <v>10.735635</v>
      </c>
      <c r="L61" s="447">
        <f>I40*F61/100</f>
        <v>0</v>
      </c>
      <c r="M61" s="447">
        <f>I41*G61/100</f>
        <v>18.275760000000002</v>
      </c>
      <c r="N61" s="547">
        <f>I42*H61/100</f>
        <v>3</v>
      </c>
      <c r="O61" s="547">
        <f>I43*I61/100</f>
        <v>0</v>
      </c>
      <c r="P61" s="547">
        <f>I44*J61/100</f>
        <v>0</v>
      </c>
      <c r="Q61" s="325"/>
      <c r="U61" s="265"/>
      <c r="Y61" s="266"/>
    </row>
    <row r="62" spans="2:25" ht="15" customHeight="1" x14ac:dyDescent="0.2">
      <c r="B62" s="638">
        <v>8</v>
      </c>
      <c r="C62" s="839"/>
      <c r="D62" s="727"/>
      <c r="E62" s="546">
        <v>5</v>
      </c>
      <c r="F62" s="638">
        <v>0</v>
      </c>
      <c r="G62" s="638">
        <v>12</v>
      </c>
      <c r="H62" s="447">
        <v>10</v>
      </c>
      <c r="I62" s="447">
        <v>0</v>
      </c>
      <c r="J62" s="547">
        <v>0</v>
      </c>
      <c r="K62" s="547">
        <f>I39*E62/100</f>
        <v>10.735635</v>
      </c>
      <c r="L62" s="447">
        <f>I40*F62/100</f>
        <v>0</v>
      </c>
      <c r="M62" s="447">
        <f>I41*G62/100</f>
        <v>18.275760000000002</v>
      </c>
      <c r="N62" s="547">
        <f>I42*H62/100</f>
        <v>3</v>
      </c>
      <c r="O62" s="547">
        <f>I43*I62/100</f>
        <v>0</v>
      </c>
      <c r="P62" s="547">
        <f>I44*J62/100</f>
        <v>0</v>
      </c>
      <c r="Q62" s="325"/>
      <c r="U62" s="265"/>
      <c r="Y62" s="266"/>
    </row>
    <row r="63" spans="2:25" ht="15" customHeight="1" x14ac:dyDescent="0.2">
      <c r="B63" s="638">
        <v>9</v>
      </c>
      <c r="C63" s="840"/>
      <c r="D63" s="728"/>
      <c r="E63" s="546">
        <v>5</v>
      </c>
      <c r="F63" s="638">
        <v>0</v>
      </c>
      <c r="G63" s="638">
        <v>12</v>
      </c>
      <c r="H63" s="447">
        <v>10</v>
      </c>
      <c r="I63" s="447">
        <v>0</v>
      </c>
      <c r="J63" s="547">
        <v>0</v>
      </c>
      <c r="K63" s="547">
        <f>I39*E63/100</f>
        <v>10.735635</v>
      </c>
      <c r="L63" s="447">
        <f>I40*F63/100</f>
        <v>0</v>
      </c>
      <c r="M63" s="447">
        <f>I41*G63/100</f>
        <v>18.275760000000002</v>
      </c>
      <c r="N63" s="547">
        <f>I42*H63/100</f>
        <v>3</v>
      </c>
      <c r="O63" s="547">
        <f>I43*I63/100</f>
        <v>0</v>
      </c>
      <c r="P63" s="547">
        <f>I44*J63/100</f>
        <v>0</v>
      </c>
      <c r="Q63" s="325"/>
      <c r="U63" s="265"/>
      <c r="Y63" s="266"/>
    </row>
    <row r="64" spans="2:25" ht="15" customHeight="1" x14ac:dyDescent="0.2">
      <c r="B64" s="638">
        <v>10</v>
      </c>
      <c r="C64" s="838" t="s">
        <v>1532</v>
      </c>
      <c r="D64" s="729"/>
      <c r="E64" s="546">
        <v>5</v>
      </c>
      <c r="F64" s="638">
        <v>0</v>
      </c>
      <c r="G64" s="638">
        <v>5</v>
      </c>
      <c r="H64" s="447">
        <v>10</v>
      </c>
      <c r="I64" s="447">
        <v>0</v>
      </c>
      <c r="J64" s="547">
        <v>0</v>
      </c>
      <c r="K64" s="547">
        <f>I39*E64/100</f>
        <v>10.735635</v>
      </c>
      <c r="L64" s="447">
        <f>I40*F64/100</f>
        <v>0</v>
      </c>
      <c r="M64" s="447">
        <f>I41*G64/100</f>
        <v>7.6149000000000004</v>
      </c>
      <c r="N64" s="547">
        <f>I42*H64/100</f>
        <v>3</v>
      </c>
      <c r="O64" s="547">
        <f>I43*I64/100</f>
        <v>0</v>
      </c>
      <c r="P64" s="547">
        <f>I44*J64/100</f>
        <v>0</v>
      </c>
      <c r="Q64" s="325"/>
      <c r="U64" s="265"/>
      <c r="Y64" s="266"/>
    </row>
    <row r="65" spans="2:26" ht="15" customHeight="1" x14ac:dyDescent="0.2">
      <c r="B65" s="638">
        <v>11</v>
      </c>
      <c r="C65" s="839"/>
      <c r="D65" s="727"/>
      <c r="E65" s="546">
        <v>5</v>
      </c>
      <c r="F65" s="638">
        <v>0</v>
      </c>
      <c r="G65" s="638">
        <v>4</v>
      </c>
      <c r="H65" s="447">
        <v>30</v>
      </c>
      <c r="I65" s="447">
        <v>0</v>
      </c>
      <c r="J65" s="547">
        <v>0</v>
      </c>
      <c r="K65" s="547">
        <f>I39*E65/100</f>
        <v>10.735635</v>
      </c>
      <c r="L65" s="447">
        <f>I40*F65/100</f>
        <v>0</v>
      </c>
      <c r="M65" s="447">
        <f>I41*G65/100</f>
        <v>6.09192</v>
      </c>
      <c r="N65" s="547">
        <f>I42*H65/100</f>
        <v>9</v>
      </c>
      <c r="O65" s="547">
        <f>I43*I65/100</f>
        <v>0</v>
      </c>
      <c r="P65" s="547">
        <f>I44*J65/100</f>
        <v>0</v>
      </c>
      <c r="Q65" s="325"/>
      <c r="U65" s="265"/>
      <c r="Y65" s="266"/>
    </row>
    <row r="66" spans="2:26" ht="15" customHeight="1" x14ac:dyDescent="0.2">
      <c r="B66" s="638">
        <v>12</v>
      </c>
      <c r="C66" s="840"/>
      <c r="D66" s="728"/>
      <c r="E66" s="546">
        <v>5</v>
      </c>
      <c r="F66" s="638">
        <v>0</v>
      </c>
      <c r="G66" s="638">
        <v>4</v>
      </c>
      <c r="H66" s="447">
        <v>10</v>
      </c>
      <c r="I66" s="447">
        <v>0</v>
      </c>
      <c r="J66" s="547">
        <v>0</v>
      </c>
      <c r="K66" s="547">
        <f>I39*E66/100</f>
        <v>10.735635</v>
      </c>
      <c r="L66" s="447">
        <f>I40*F66/100</f>
        <v>0</v>
      </c>
      <c r="M66" s="447">
        <f>I41*G66/100</f>
        <v>6.09192</v>
      </c>
      <c r="N66" s="547">
        <f>I42*H66/100</f>
        <v>3</v>
      </c>
      <c r="O66" s="547">
        <f>I43*I66/100</f>
        <v>0</v>
      </c>
      <c r="P66" s="547">
        <f>I44*J66/100</f>
        <v>0</v>
      </c>
      <c r="Q66" s="325"/>
      <c r="U66" s="265"/>
      <c r="Y66" s="266"/>
    </row>
    <row r="67" spans="2:26" ht="15" customHeight="1" x14ac:dyDescent="0.2">
      <c r="B67" s="811" t="s">
        <v>587</v>
      </c>
      <c r="C67" s="743"/>
      <c r="D67" s="812"/>
      <c r="E67" s="542">
        <f>SUM(E55:E66)</f>
        <v>100</v>
      </c>
      <c r="F67" s="548">
        <f>F55+F56+F57+F58+F59+F60+F61+F62+F63+F66</f>
        <v>100</v>
      </c>
      <c r="G67" s="548">
        <f t="shared" ref="G67:M67" si="0">SUM(G55:G66)</f>
        <v>100</v>
      </c>
      <c r="H67" s="549">
        <f t="shared" si="0"/>
        <v>100</v>
      </c>
      <c r="I67" s="549">
        <f t="shared" si="0"/>
        <v>100</v>
      </c>
      <c r="J67" s="549">
        <f t="shared" si="0"/>
        <v>100</v>
      </c>
      <c r="K67" s="549">
        <f t="shared" si="0"/>
        <v>214.71270000000001</v>
      </c>
      <c r="L67" s="549">
        <f t="shared" si="0"/>
        <v>42.228000000000009</v>
      </c>
      <c r="M67" s="549">
        <f t="shared" si="0"/>
        <v>152.29799999999997</v>
      </c>
      <c r="N67" s="549">
        <f t="shared" ref="N67:P67" si="1">SUM(N55:N66)</f>
        <v>30</v>
      </c>
      <c r="O67" s="549">
        <f t="shared" si="1"/>
        <v>18</v>
      </c>
      <c r="P67" s="549">
        <f t="shared" si="1"/>
        <v>12</v>
      </c>
      <c r="Q67" s="224"/>
      <c r="U67" s="265"/>
      <c r="Y67" s="266"/>
    </row>
    <row r="68" spans="2:26" ht="15" customHeight="1" x14ac:dyDescent="0.2">
      <c r="B68" s="49"/>
      <c r="C68" s="49"/>
      <c r="D68" s="49"/>
      <c r="E68" s="49"/>
      <c r="F68" s="325"/>
      <c r="G68" s="280"/>
      <c r="H68" s="325"/>
      <c r="I68" s="49"/>
      <c r="J68" s="325"/>
      <c r="K68" s="224"/>
      <c r="M68" s="325"/>
      <c r="N68" s="224"/>
      <c r="O68" s="325"/>
      <c r="P68" s="325"/>
      <c r="Q68" s="325"/>
      <c r="R68" s="325"/>
    </row>
    <row r="69" spans="2:26" ht="15" customHeight="1" x14ac:dyDescent="0.2">
      <c r="B69" s="49"/>
      <c r="C69" s="49"/>
      <c r="D69" s="49"/>
      <c r="E69" s="49"/>
      <c r="F69" s="325"/>
      <c r="G69" s="280"/>
      <c r="H69" s="325"/>
      <c r="I69" s="49"/>
      <c r="J69" s="325"/>
      <c r="K69" s="224"/>
      <c r="M69" s="325"/>
      <c r="N69" s="224"/>
      <c r="O69" s="325"/>
      <c r="P69" s="325"/>
      <c r="Q69" s="325"/>
      <c r="R69" s="325"/>
      <c r="V69" s="266"/>
      <c r="W69" s="550" t="s">
        <v>1533</v>
      </c>
      <c r="X69" s="266"/>
      <c r="Y69" s="266"/>
    </row>
    <row r="70" spans="2:26" ht="15" customHeight="1" x14ac:dyDescent="0.2">
      <c r="B70" s="169" t="s">
        <v>1534</v>
      </c>
      <c r="L70" s="325"/>
      <c r="M70" s="325"/>
      <c r="N70" s="325"/>
      <c r="O70" s="325"/>
      <c r="P70" s="325"/>
      <c r="Q70" s="325"/>
      <c r="R70" s="325"/>
      <c r="V70" s="266"/>
      <c r="W70" s="170" t="s">
        <v>811</v>
      </c>
      <c r="X70" s="281"/>
      <c r="Y70" s="281"/>
      <c r="Z70" s="60" t="s">
        <v>1535</v>
      </c>
    </row>
    <row r="71" spans="2:26" s="281" customFormat="1" ht="15" customHeight="1" x14ac:dyDescent="0.2">
      <c r="C71" s="290" t="s">
        <v>1536</v>
      </c>
      <c r="D71" s="266"/>
      <c r="E71" s="266"/>
      <c r="F71" s="266"/>
      <c r="G71" s="266"/>
      <c r="H71" s="266"/>
      <c r="I71" s="266"/>
      <c r="J71" s="57"/>
      <c r="K71" s="266"/>
      <c r="O71" s="219"/>
      <c r="Q71" s="170"/>
      <c r="R71" s="170"/>
      <c r="W71" s="273" t="s">
        <v>1537</v>
      </c>
      <c r="Z71" s="60" t="s">
        <v>1538</v>
      </c>
    </row>
    <row r="72" spans="2:26" s="281" customFormat="1" ht="15" customHeight="1" x14ac:dyDescent="0.2">
      <c r="B72" s="266"/>
      <c r="C72" s="290"/>
      <c r="D72" s="290"/>
      <c r="E72" s="266"/>
      <c r="F72" s="266"/>
      <c r="G72" s="266"/>
      <c r="H72" s="266"/>
      <c r="I72" s="266"/>
      <c r="J72" s="266"/>
      <c r="K72" s="266"/>
      <c r="P72" s="283"/>
      <c r="W72" s="170" t="s">
        <v>1539</v>
      </c>
      <c r="Z72" s="60" t="s">
        <v>1540</v>
      </c>
    </row>
    <row r="73" spans="2:26" s="281" customFormat="1" ht="15" customHeight="1" x14ac:dyDescent="0.2">
      <c r="B73" s="266"/>
      <c r="C73" s="290"/>
      <c r="D73" s="290"/>
      <c r="E73" s="266"/>
      <c r="F73" s="266"/>
      <c r="G73" s="266"/>
      <c r="H73" s="266"/>
      <c r="I73" s="266"/>
      <c r="J73" s="266"/>
      <c r="K73" s="266"/>
      <c r="P73" s="283"/>
      <c r="W73" s="277" t="s">
        <v>1138</v>
      </c>
      <c r="Y73" s="263"/>
      <c r="Z73" s="296"/>
    </row>
    <row r="74" spans="2:26" s="281" customFormat="1" ht="15" customHeight="1" x14ac:dyDescent="0.2">
      <c r="B74" s="832" t="s">
        <v>1541</v>
      </c>
      <c r="C74" s="767" t="s">
        <v>357</v>
      </c>
      <c r="D74" s="767"/>
      <c r="E74" s="767"/>
      <c r="F74" s="767"/>
      <c r="G74" s="767"/>
      <c r="H74" s="757" t="s">
        <v>1542</v>
      </c>
      <c r="I74" s="757"/>
      <c r="J74" s="757"/>
      <c r="K74" s="757"/>
      <c r="L74" s="757"/>
      <c r="M74" s="757"/>
      <c r="N74" s="171"/>
      <c r="P74" s="171"/>
      <c r="W74" s="170" t="s">
        <v>1543</v>
      </c>
      <c r="Y74" s="265"/>
      <c r="Z74" s="60" t="s">
        <v>1544</v>
      </c>
    </row>
    <row r="75" spans="2:26" s="281" customFormat="1" ht="15" customHeight="1" x14ac:dyDescent="0.25">
      <c r="B75" s="832"/>
      <c r="C75" s="770"/>
      <c r="D75" s="770"/>
      <c r="E75" s="770"/>
      <c r="F75" s="770"/>
      <c r="G75" s="770"/>
      <c r="H75" s="551" t="s">
        <v>385</v>
      </c>
      <c r="I75" s="551" t="s">
        <v>1545</v>
      </c>
      <c r="J75" s="50" t="s">
        <v>1125</v>
      </c>
      <c r="K75" s="552" t="s">
        <v>1124</v>
      </c>
      <c r="L75" s="552" t="s">
        <v>1123</v>
      </c>
      <c r="M75" s="552" t="s">
        <v>292</v>
      </c>
      <c r="O75" s="219"/>
      <c r="P75" s="283"/>
      <c r="W75" s="281" t="s">
        <v>1546</v>
      </c>
      <c r="Z75" s="281" t="s">
        <v>1547</v>
      </c>
    </row>
    <row r="76" spans="2:26" s="281" customFormat="1" ht="15" customHeight="1" x14ac:dyDescent="0.2">
      <c r="B76" s="222" t="s">
        <v>385</v>
      </c>
      <c r="C76" s="845" t="s">
        <v>811</v>
      </c>
      <c r="D76" s="849"/>
      <c r="E76" s="849"/>
      <c r="F76" s="849"/>
      <c r="G76" s="850"/>
      <c r="H76" s="229">
        <f>IF(C76="Uréia",45,IF(C76="Sulfato de Amônio",21,33))</f>
        <v>45</v>
      </c>
      <c r="I76" s="230"/>
      <c r="J76" s="230"/>
      <c r="K76" s="230"/>
      <c r="L76" s="230"/>
      <c r="M76" s="230">
        <f>IF(C76="Sulfato de Amônio",24,0)</f>
        <v>0</v>
      </c>
      <c r="P76" s="283"/>
      <c r="W76" s="281" t="s">
        <v>1548</v>
      </c>
      <c r="Z76" s="281" t="s">
        <v>1549</v>
      </c>
    </row>
    <row r="77" spans="2:26" s="281" customFormat="1" ht="15" customHeight="1" x14ac:dyDescent="0.25">
      <c r="B77" s="222" t="s">
        <v>1138</v>
      </c>
      <c r="C77" s="845" t="s">
        <v>1543</v>
      </c>
      <c r="D77" s="849"/>
      <c r="E77" s="849"/>
      <c r="F77" s="849"/>
      <c r="G77" s="850"/>
      <c r="H77" s="229">
        <f>IF(C77="MAP",12,IF(C77="Uréia Fosfatada",17,0))</f>
        <v>12</v>
      </c>
      <c r="I77" s="230">
        <f>IF(C77="MAP",60,IF(C77="Fosfato de Potássio",52,44))</f>
        <v>60</v>
      </c>
      <c r="J77" s="230">
        <f>IF(C77="Fosfato de Potássio",34,0)</f>
        <v>0</v>
      </c>
      <c r="K77" s="230"/>
      <c r="L77" s="230"/>
      <c r="M77" s="230"/>
      <c r="P77" s="283"/>
      <c r="W77" s="553" t="s">
        <v>1125</v>
      </c>
      <c r="Z77" s="60"/>
    </row>
    <row r="78" spans="2:26" s="281" customFormat="1" ht="15" customHeight="1" x14ac:dyDescent="0.2">
      <c r="B78" s="222" t="s">
        <v>1125</v>
      </c>
      <c r="C78" s="845" t="s">
        <v>1550</v>
      </c>
      <c r="D78" s="849"/>
      <c r="E78" s="849"/>
      <c r="F78" s="849"/>
      <c r="G78" s="850"/>
      <c r="H78" s="229">
        <f>IF(C78="Nitrato de Potássio",12,0)</f>
        <v>0</v>
      </c>
      <c r="I78" s="231"/>
      <c r="J78" s="230">
        <f>IF(C78="Cloreto de Potássio",60,IF(C78="Sulfato de Potássio",50,45))</f>
        <v>60</v>
      </c>
      <c r="K78" s="230"/>
      <c r="L78" s="230"/>
      <c r="M78" s="230">
        <f>IF(C78="Sulfato de Potássio",18,0)</f>
        <v>0</v>
      </c>
      <c r="O78" s="219"/>
      <c r="P78" s="283"/>
      <c r="W78" s="170" t="s">
        <v>1550</v>
      </c>
      <c r="Y78" s="265"/>
      <c r="Z78" s="60" t="s">
        <v>1551</v>
      </c>
    </row>
    <row r="79" spans="2:26" s="281" customFormat="1" ht="15" customHeight="1" x14ac:dyDescent="0.2">
      <c r="B79" s="222" t="s">
        <v>1124</v>
      </c>
      <c r="C79" s="845" t="s">
        <v>1552</v>
      </c>
      <c r="D79" s="849"/>
      <c r="E79" s="849"/>
      <c r="F79" s="849"/>
      <c r="G79" s="850"/>
      <c r="H79" s="230">
        <f>IF(C79="Nitrato de Cálcio",15,0)</f>
        <v>15</v>
      </c>
      <c r="I79" s="230"/>
      <c r="J79" s="231"/>
      <c r="K79" s="230">
        <f>IF(C79="Nitrato de Cálcio",19,27)</f>
        <v>19</v>
      </c>
      <c r="L79" s="230"/>
      <c r="M79" s="230"/>
      <c r="W79" s="273" t="s">
        <v>1553</v>
      </c>
      <c r="Y79" s="265"/>
      <c r="Z79" s="60" t="s">
        <v>1554</v>
      </c>
    </row>
    <row r="80" spans="2:26" s="281" customFormat="1" ht="15" customHeight="1" x14ac:dyDescent="0.2">
      <c r="B80" s="222" t="s">
        <v>1123</v>
      </c>
      <c r="C80" s="845" t="s">
        <v>1555</v>
      </c>
      <c r="D80" s="849"/>
      <c r="E80" s="849"/>
      <c r="F80" s="849"/>
      <c r="G80" s="850"/>
      <c r="H80" s="230">
        <f>IF(C80="Nitrato de Magnésio",10,0)</f>
        <v>0</v>
      </c>
      <c r="I80" s="230"/>
      <c r="J80" s="231"/>
      <c r="K80" s="230"/>
      <c r="L80" s="230">
        <f>IF(C80="Sulfato de Magnésio",9,9)</f>
        <v>9</v>
      </c>
      <c r="M80" s="230">
        <f>IF(C80="Sulfato de Magnésio",12,0)</f>
        <v>12</v>
      </c>
      <c r="O80" s="60"/>
      <c r="W80" s="170" t="s">
        <v>1556</v>
      </c>
      <c r="Y80" s="265"/>
      <c r="Z80" s="298" t="s">
        <v>1557</v>
      </c>
    </row>
    <row r="81" spans="1:27" s="281" customFormat="1" ht="15" customHeight="1" x14ac:dyDescent="0.25">
      <c r="B81" s="222" t="s">
        <v>292</v>
      </c>
      <c r="C81" s="845" t="s">
        <v>1558</v>
      </c>
      <c r="D81" s="846"/>
      <c r="E81" s="846"/>
      <c r="F81" s="846"/>
      <c r="G81" s="847"/>
      <c r="H81" s="230"/>
      <c r="I81" s="230"/>
      <c r="J81" s="231"/>
      <c r="K81" s="230"/>
      <c r="L81" s="230"/>
      <c r="M81" s="230">
        <v>95</v>
      </c>
      <c r="W81" s="553" t="s">
        <v>1124</v>
      </c>
      <c r="Y81" s="265"/>
      <c r="Z81" s="60"/>
    </row>
    <row r="82" spans="1:27" s="60" customFormat="1" ht="15" customHeight="1" x14ac:dyDescent="0.2">
      <c r="A82" s="296"/>
      <c r="K82" s="265"/>
      <c r="L82" s="296"/>
      <c r="M82" s="296"/>
      <c r="N82" s="296"/>
      <c r="O82" s="219"/>
      <c r="P82" s="26"/>
      <c r="W82" s="273" t="s">
        <v>1552</v>
      </c>
      <c r="X82" s="281"/>
      <c r="Y82" s="266"/>
      <c r="Z82" s="60" t="s">
        <v>1559</v>
      </c>
    </row>
    <row r="83" spans="1:27" s="60" customFormat="1" ht="15" customHeight="1" x14ac:dyDescent="0.2">
      <c r="A83" s="554"/>
      <c r="B83" s="554"/>
      <c r="C83" s="266" t="s">
        <v>1562</v>
      </c>
      <c r="D83" s="554"/>
      <c r="E83" s="554"/>
      <c r="F83" s="554"/>
      <c r="G83" s="554"/>
      <c r="H83" s="554"/>
      <c r="I83" s="554"/>
      <c r="J83" s="554"/>
      <c r="K83" s="554"/>
      <c r="L83" s="555"/>
      <c r="M83" s="298"/>
      <c r="N83" s="298"/>
      <c r="P83" s="298"/>
      <c r="W83" s="60" t="s">
        <v>1560</v>
      </c>
      <c r="Z83" s="60" t="s">
        <v>1561</v>
      </c>
    </row>
    <row r="84" spans="1:27" s="60" customFormat="1" ht="15" customHeight="1" x14ac:dyDescent="0.25">
      <c r="A84" s="296"/>
      <c r="B84" s="263"/>
      <c r="C84" s="555"/>
      <c r="D84" s="555"/>
      <c r="E84" s="555"/>
      <c r="F84" s="555"/>
      <c r="G84" s="555"/>
      <c r="H84" s="555"/>
      <c r="I84" s="555"/>
      <c r="J84" s="555"/>
      <c r="K84" s="555"/>
      <c r="L84" s="555"/>
      <c r="M84" s="298"/>
      <c r="N84" s="298"/>
      <c r="P84" s="298"/>
      <c r="W84" s="553" t="s">
        <v>1123</v>
      </c>
      <c r="X84" s="281"/>
    </row>
    <row r="85" spans="1:27" s="60" customFormat="1" ht="15" customHeight="1" x14ac:dyDescent="0.25">
      <c r="D85" s="848" t="s">
        <v>2106</v>
      </c>
      <c r="E85" s="848"/>
      <c r="F85" s="848"/>
      <c r="G85" s="848"/>
      <c r="H85" s="848"/>
      <c r="I85" s="848"/>
      <c r="J85" s="848"/>
      <c r="K85" s="848"/>
      <c r="L85" s="848"/>
      <c r="M85" s="848"/>
      <c r="N85" s="476"/>
      <c r="O85" s="266"/>
      <c r="P85" s="298"/>
      <c r="R85" s="298"/>
      <c r="W85" s="273" t="s">
        <v>1555</v>
      </c>
      <c r="X85" s="281"/>
      <c r="Z85" s="60" t="s">
        <v>1563</v>
      </c>
    </row>
    <row r="86" spans="1:27" s="60" customFormat="1" ht="15" customHeight="1" x14ac:dyDescent="0.2">
      <c r="C86" s="296"/>
      <c r="D86" s="266"/>
      <c r="E86" s="27"/>
      <c r="F86" s="27"/>
      <c r="G86" s="27"/>
      <c r="H86" s="27"/>
      <c r="I86" s="27"/>
      <c r="J86" s="27"/>
      <c r="K86" s="263"/>
      <c r="L86" s="263"/>
      <c r="M86" s="263"/>
      <c r="N86" s="298"/>
      <c r="O86" s="298"/>
      <c r="P86" s="298"/>
      <c r="Q86" s="219"/>
      <c r="R86" s="222"/>
      <c r="W86" s="60" t="s">
        <v>1564</v>
      </c>
      <c r="Z86" s="60" t="s">
        <v>1565</v>
      </c>
    </row>
    <row r="87" spans="1:27" s="60" customFormat="1" ht="15" customHeight="1" x14ac:dyDescent="0.25">
      <c r="C87" s="296"/>
      <c r="E87" s="316" t="s">
        <v>1313</v>
      </c>
      <c r="F87" s="773" t="str">
        <f>E8</f>
        <v>João</v>
      </c>
      <c r="G87" s="773"/>
      <c r="H87" s="773"/>
      <c r="I87" s="773"/>
      <c r="J87" s="773"/>
      <c r="K87" s="773"/>
      <c r="L87" s="773"/>
      <c r="M87" s="773"/>
      <c r="N87" s="298"/>
      <c r="O87" s="298"/>
      <c r="P87" s="298"/>
      <c r="Q87" s="219"/>
      <c r="R87" s="222"/>
      <c r="W87" s="553" t="s">
        <v>292</v>
      </c>
      <c r="X87" s="281"/>
      <c r="Y87" s="266"/>
    </row>
    <row r="88" spans="1:27" s="60" customFormat="1" ht="15" customHeight="1" x14ac:dyDescent="0.2">
      <c r="C88" s="296"/>
      <c r="E88" s="225" t="s">
        <v>1497</v>
      </c>
      <c r="F88" s="773" t="str">
        <f>E9</f>
        <v>Setor 1</v>
      </c>
      <c r="G88" s="773"/>
      <c r="H88" s="773"/>
      <c r="I88" s="773"/>
      <c r="J88" s="773"/>
      <c r="K88" s="773"/>
      <c r="L88" s="773"/>
      <c r="M88" s="773"/>
      <c r="N88" s="298"/>
      <c r="O88" s="298"/>
      <c r="P88" s="298"/>
      <c r="Q88" s="219"/>
      <c r="R88" s="222"/>
      <c r="W88" s="170" t="s">
        <v>1566</v>
      </c>
      <c r="X88" s="281"/>
      <c r="Z88" s="556" t="s">
        <v>1567</v>
      </c>
    </row>
    <row r="89" spans="1:27" ht="15" customHeight="1" x14ac:dyDescent="0.2">
      <c r="A89" s="60"/>
      <c r="B89" s="60"/>
      <c r="C89" s="296"/>
      <c r="D89" s="60"/>
      <c r="E89" s="27"/>
      <c r="F89" s="27"/>
      <c r="G89" s="27"/>
      <c r="H89" s="27"/>
      <c r="I89" s="27"/>
      <c r="J89" s="27"/>
      <c r="K89" s="263"/>
      <c r="L89" s="263"/>
      <c r="M89" s="263"/>
      <c r="N89" s="298"/>
      <c r="O89" s="298"/>
      <c r="P89" s="256"/>
      <c r="Q89" s="257"/>
      <c r="R89" s="265"/>
      <c r="V89" s="266"/>
      <c r="W89" s="266"/>
      <c r="X89" s="266"/>
      <c r="Z89" s="265"/>
    </row>
    <row r="90" spans="1:27" s="60" customFormat="1" ht="15" customHeight="1" x14ac:dyDescent="0.25">
      <c r="C90" s="296"/>
      <c r="D90" s="169" t="s">
        <v>1568</v>
      </c>
      <c r="E90" s="27"/>
      <c r="F90" s="27"/>
      <c r="G90" s="27"/>
      <c r="H90" s="27"/>
      <c r="I90" s="27"/>
      <c r="J90" s="27"/>
      <c r="K90" s="263"/>
      <c r="L90" s="263"/>
      <c r="M90" s="263"/>
      <c r="N90" s="298"/>
      <c r="O90" s="298"/>
      <c r="P90" s="222"/>
      <c r="Q90" s="265"/>
      <c r="R90" s="265"/>
      <c r="T90" s="553"/>
      <c r="U90" s="281"/>
      <c r="Y90" s="265"/>
    </row>
    <row r="91" spans="1:27" s="60" customFormat="1" ht="15" customHeight="1" x14ac:dyDescent="0.25">
      <c r="C91" s="296"/>
      <c r="D91" s="169"/>
      <c r="E91" s="27"/>
      <c r="F91" s="27"/>
      <c r="G91" s="27"/>
      <c r="H91" s="27"/>
      <c r="I91" s="27"/>
      <c r="J91" s="27"/>
      <c r="K91" s="263"/>
      <c r="L91" s="263"/>
      <c r="M91" s="263"/>
      <c r="N91" s="298"/>
      <c r="O91" s="298"/>
      <c r="P91" s="557"/>
      <c r="Q91" s="256"/>
      <c r="R91" s="557"/>
      <c r="T91" s="553"/>
      <c r="U91" s="281"/>
      <c r="Y91" s="265"/>
    </row>
    <row r="92" spans="1:27" s="60" customFormat="1" ht="15" customHeight="1" x14ac:dyDescent="0.25">
      <c r="D92" s="298"/>
      <c r="E92" s="298"/>
      <c r="F92" s="298"/>
      <c r="G92" s="292"/>
      <c r="H92" s="843" t="s">
        <v>1569</v>
      </c>
      <c r="I92" s="844"/>
      <c r="J92" s="844"/>
      <c r="K92" s="844"/>
      <c r="L92" s="558">
        <f>G14</f>
        <v>6000</v>
      </c>
      <c r="M92" s="559" t="s">
        <v>1519</v>
      </c>
      <c r="N92" s="298"/>
      <c r="O92" s="256"/>
      <c r="P92" s="560"/>
      <c r="Q92" s="209"/>
      <c r="R92" s="560"/>
      <c r="V92" s="553"/>
      <c r="W92" s="281"/>
      <c r="AA92" s="265"/>
    </row>
    <row r="93" spans="1:27" s="60" customFormat="1" ht="15" customHeight="1" x14ac:dyDescent="0.2">
      <c r="D93" s="831" t="s">
        <v>1526</v>
      </c>
      <c r="E93" s="831" t="s">
        <v>1527</v>
      </c>
      <c r="F93" s="831"/>
      <c r="G93" s="831"/>
      <c r="H93" s="820" t="str">
        <f>C76</f>
        <v>Uréia</v>
      </c>
      <c r="I93" s="820" t="str">
        <f>C77</f>
        <v>MAP</v>
      </c>
      <c r="J93" s="820" t="str">
        <f>C78</f>
        <v>Cloreto de Potássio</v>
      </c>
      <c r="K93" s="820" t="str">
        <f>C79</f>
        <v>Nitrato de Cálcio</v>
      </c>
      <c r="L93" s="820" t="str">
        <f>C80</f>
        <v>Sulfato de Magnésio</v>
      </c>
      <c r="M93" s="821" t="str">
        <f>C81</f>
        <v>S elementar</v>
      </c>
      <c r="N93" s="222"/>
      <c r="O93" s="222"/>
      <c r="P93" s="560"/>
      <c r="Q93" s="209"/>
      <c r="R93" s="560"/>
      <c r="AA93" s="265"/>
    </row>
    <row r="94" spans="1:27" s="60" customFormat="1" ht="15" customHeight="1" x14ac:dyDescent="0.2">
      <c r="D94" s="831"/>
      <c r="E94" s="831"/>
      <c r="F94" s="831"/>
      <c r="G94" s="831"/>
      <c r="H94" s="821"/>
      <c r="I94" s="821"/>
      <c r="J94" s="821"/>
      <c r="K94" s="821"/>
      <c r="L94" s="821"/>
      <c r="M94" s="822"/>
      <c r="N94" s="545"/>
      <c r="O94" s="557"/>
      <c r="P94" s="560"/>
      <c r="Q94" s="209"/>
      <c r="R94" s="560"/>
      <c r="V94" s="273"/>
      <c r="W94" s="281"/>
      <c r="X94" s="222"/>
      <c r="AA94" s="265"/>
    </row>
    <row r="95" spans="1:27" s="60" customFormat="1" ht="15" customHeight="1" x14ac:dyDescent="0.2">
      <c r="D95" s="552">
        <v>1</v>
      </c>
      <c r="E95" s="823" t="s">
        <v>1529</v>
      </c>
      <c r="F95" s="824"/>
      <c r="G95" s="825"/>
      <c r="H95" s="561">
        <f>IF(W102&gt;0,W102,"-")</f>
        <v>42.083533333333328</v>
      </c>
      <c r="I95" s="561">
        <f t="shared" ref="I95:M95" si="2">IF(X102&gt;0,X102,"-")</f>
        <v>21.114000000000001</v>
      </c>
      <c r="J95" s="561">
        <f t="shared" si="2"/>
        <v>17.7681</v>
      </c>
      <c r="K95" s="561" t="str">
        <f t="shared" si="2"/>
        <v>-</v>
      </c>
      <c r="L95" s="561">
        <f t="shared" si="2"/>
        <v>80</v>
      </c>
      <c r="M95" s="561" t="str">
        <f t="shared" si="2"/>
        <v>-</v>
      </c>
      <c r="N95" s="325"/>
      <c r="O95" s="209"/>
      <c r="P95" s="560"/>
      <c r="Q95" s="209"/>
      <c r="R95" s="560"/>
      <c r="V95" s="273"/>
      <c r="W95" s="281"/>
      <c r="X95" s="222"/>
      <c r="AA95" s="265"/>
    </row>
    <row r="96" spans="1:27" s="60" customFormat="1" ht="15" customHeight="1" x14ac:dyDescent="0.2">
      <c r="D96" s="552">
        <v>2</v>
      </c>
      <c r="E96" s="826"/>
      <c r="F96" s="748"/>
      <c r="G96" s="827"/>
      <c r="H96" s="561">
        <f t="shared" ref="H96:H106" si="3">IF(W103&gt;0,W103,"-")</f>
        <v>42.083533333333328</v>
      </c>
      <c r="I96" s="561">
        <f t="shared" ref="I96:I106" si="4">IF(X103&gt;0,X103,"-")</f>
        <v>21.114000000000001</v>
      </c>
      <c r="J96" s="561">
        <f t="shared" ref="J96:J106" si="5">IF(Y103&gt;0,Y103,"-")</f>
        <v>17.7681</v>
      </c>
      <c r="K96" s="561" t="str">
        <f t="shared" ref="K96:K106" si="6">IF(Z103&gt;0,Z103,"-")</f>
        <v>-</v>
      </c>
      <c r="L96" s="561">
        <f t="shared" ref="L96:L106" si="7">IF(AA103&gt;0,AA103,"-")</f>
        <v>60</v>
      </c>
      <c r="M96" s="561" t="str">
        <f t="shared" ref="M96:M106" si="8">IF(AB103&gt;0,AB103,"-")</f>
        <v>-</v>
      </c>
      <c r="N96" s="325"/>
      <c r="O96" s="209"/>
      <c r="P96" s="560"/>
      <c r="Q96" s="209"/>
      <c r="R96" s="560"/>
      <c r="S96" s="265"/>
      <c r="T96" s="265"/>
      <c r="U96" s="265"/>
      <c r="Z96" s="266"/>
      <c r="AA96" s="265"/>
    </row>
    <row r="97" spans="1:29" s="60" customFormat="1" ht="15" customHeight="1" x14ac:dyDescent="0.2">
      <c r="D97" s="552">
        <v>3</v>
      </c>
      <c r="E97" s="828"/>
      <c r="F97" s="829"/>
      <c r="G97" s="830"/>
      <c r="H97" s="561">
        <f t="shared" si="3"/>
        <v>40.206733333333332</v>
      </c>
      <c r="I97" s="561">
        <f t="shared" si="4"/>
        <v>28.152000000000001</v>
      </c>
      <c r="J97" s="561">
        <f t="shared" si="5"/>
        <v>17.7681</v>
      </c>
      <c r="K97" s="561" t="str">
        <f t="shared" si="6"/>
        <v>-</v>
      </c>
      <c r="L97" s="561">
        <f t="shared" si="7"/>
        <v>60</v>
      </c>
      <c r="M97" s="561" t="str">
        <f t="shared" si="8"/>
        <v>-</v>
      </c>
      <c r="N97" s="325"/>
      <c r="O97" s="209"/>
      <c r="P97" s="560"/>
      <c r="Q97" s="209"/>
      <c r="R97" s="560"/>
      <c r="S97" s="265"/>
      <c r="T97" s="265"/>
      <c r="U97" s="265"/>
      <c r="AA97" s="265"/>
    </row>
    <row r="98" spans="1:29" s="60" customFormat="1" ht="15" customHeight="1" x14ac:dyDescent="0.2">
      <c r="D98" s="552">
        <v>4</v>
      </c>
      <c r="E98" s="823" t="s">
        <v>1530</v>
      </c>
      <c r="F98" s="824"/>
      <c r="G98" s="825"/>
      <c r="H98" s="561">
        <f t="shared" si="3"/>
        <v>71.570899999999995</v>
      </c>
      <c r="I98" s="561" t="str">
        <f t="shared" si="4"/>
        <v>-</v>
      </c>
      <c r="J98" s="561">
        <f t="shared" si="5"/>
        <v>25.382999999999999</v>
      </c>
      <c r="K98" s="561" t="str">
        <f t="shared" si="6"/>
        <v>-</v>
      </c>
      <c r="L98" s="561" t="str">
        <f t="shared" si="7"/>
        <v>-</v>
      </c>
      <c r="M98" s="561">
        <f t="shared" si="8"/>
        <v>5.0526315789473681</v>
      </c>
      <c r="N98" s="325"/>
      <c r="O98" s="209"/>
      <c r="P98" s="560"/>
      <c r="Q98" s="209"/>
      <c r="R98" s="560"/>
      <c r="S98" s="256"/>
      <c r="T98" s="256"/>
      <c r="U98" s="256"/>
      <c r="Y98" s="265"/>
      <c r="Z98" s="265"/>
      <c r="AA98" s="265"/>
    </row>
    <row r="99" spans="1:29" s="60" customFormat="1" ht="15" customHeight="1" x14ac:dyDescent="0.2">
      <c r="D99" s="552">
        <v>5</v>
      </c>
      <c r="E99" s="826"/>
      <c r="F99" s="748"/>
      <c r="G99" s="827"/>
      <c r="H99" s="561">
        <f t="shared" si="3"/>
        <v>66.307742105263159</v>
      </c>
      <c r="I99" s="561" t="str">
        <f t="shared" si="4"/>
        <v>-</v>
      </c>
      <c r="J99" s="561">
        <f t="shared" si="5"/>
        <v>25.382999999999999</v>
      </c>
      <c r="K99" s="561">
        <f t="shared" si="6"/>
        <v>15.789473684210526</v>
      </c>
      <c r="L99" s="561" t="str">
        <f t="shared" si="7"/>
        <v>-</v>
      </c>
      <c r="M99" s="561">
        <f t="shared" si="8"/>
        <v>1.263157894736842</v>
      </c>
      <c r="N99" s="325"/>
      <c r="O99" s="209"/>
      <c r="P99" s="560"/>
      <c r="Q99" s="209"/>
      <c r="R99" s="560"/>
      <c r="S99" s="560"/>
      <c r="T99" s="560"/>
      <c r="U99" s="209"/>
      <c r="V99" s="296"/>
      <c r="W99" s="296"/>
      <c r="X99" s="296"/>
      <c r="Y99" s="283"/>
      <c r="Z99" s="263"/>
      <c r="AA99" s="263"/>
      <c r="AB99" s="296"/>
      <c r="AC99" s="296"/>
    </row>
    <row r="100" spans="1:29" s="60" customFormat="1" ht="15" customHeight="1" x14ac:dyDescent="0.2">
      <c r="D100" s="552">
        <v>6</v>
      </c>
      <c r="E100" s="828"/>
      <c r="F100" s="829"/>
      <c r="G100" s="830"/>
      <c r="H100" s="561">
        <f t="shared" si="3"/>
        <v>42.450775438596487</v>
      </c>
      <c r="I100" s="561" t="str">
        <f t="shared" si="4"/>
        <v>-</v>
      </c>
      <c r="J100" s="561">
        <f t="shared" si="5"/>
        <v>25.382999999999999</v>
      </c>
      <c r="K100" s="561">
        <f t="shared" si="6"/>
        <v>15.789473684210526</v>
      </c>
      <c r="L100" s="561" t="str">
        <f t="shared" si="7"/>
        <v>-</v>
      </c>
      <c r="M100" s="561" t="str">
        <f t="shared" si="8"/>
        <v>-</v>
      </c>
      <c r="N100" s="325"/>
      <c r="O100" s="209"/>
      <c r="P100" s="560"/>
      <c r="Q100" s="209"/>
      <c r="R100" s="560"/>
      <c r="S100" s="560"/>
      <c r="T100" s="560"/>
      <c r="U100" s="209"/>
      <c r="V100" s="296"/>
      <c r="W100" s="296"/>
      <c r="X100" s="296"/>
      <c r="Y100" s="283"/>
      <c r="Z100" s="263"/>
      <c r="AA100" s="263"/>
      <c r="AB100" s="296"/>
      <c r="AC100" s="296"/>
    </row>
    <row r="101" spans="1:29" s="60" customFormat="1" ht="15" customHeight="1" x14ac:dyDescent="0.2">
      <c r="D101" s="552">
        <v>7</v>
      </c>
      <c r="E101" s="823" t="s">
        <v>1531</v>
      </c>
      <c r="F101" s="824"/>
      <c r="G101" s="825"/>
      <c r="H101" s="561">
        <f t="shared" si="3"/>
        <v>18.593808771929822</v>
      </c>
      <c r="I101" s="561" t="str">
        <f t="shared" si="4"/>
        <v>-</v>
      </c>
      <c r="J101" s="561">
        <f t="shared" si="5"/>
        <v>30.459600000000005</v>
      </c>
      <c r="K101" s="561">
        <f t="shared" si="6"/>
        <v>15.789473684210526</v>
      </c>
      <c r="L101" s="561" t="str">
        <f t="shared" si="7"/>
        <v>-</v>
      </c>
      <c r="M101" s="561" t="str">
        <f t="shared" si="8"/>
        <v>-</v>
      </c>
      <c r="N101" s="325"/>
      <c r="O101" s="209"/>
      <c r="P101" s="560"/>
      <c r="Q101" s="209"/>
      <c r="R101" s="560"/>
      <c r="S101" s="560"/>
      <c r="T101" s="560"/>
      <c r="U101" s="209"/>
      <c r="V101" s="296"/>
      <c r="W101" s="296"/>
      <c r="X101" s="296"/>
      <c r="Y101" s="283"/>
      <c r="Z101" s="263"/>
      <c r="AA101" s="263"/>
      <c r="AB101" s="296"/>
      <c r="AC101" s="296"/>
    </row>
    <row r="102" spans="1:29" s="60" customFormat="1" ht="15" customHeight="1" x14ac:dyDescent="0.2">
      <c r="D102" s="552">
        <v>8</v>
      </c>
      <c r="E102" s="826"/>
      <c r="F102" s="748"/>
      <c r="G102" s="827"/>
      <c r="H102" s="561">
        <f t="shared" si="3"/>
        <v>18.593808771929822</v>
      </c>
      <c r="I102" s="561" t="str">
        <f t="shared" si="4"/>
        <v>-</v>
      </c>
      <c r="J102" s="561">
        <f t="shared" si="5"/>
        <v>30.459600000000005</v>
      </c>
      <c r="K102" s="561">
        <f t="shared" si="6"/>
        <v>15.789473684210526</v>
      </c>
      <c r="L102" s="561" t="str">
        <f t="shared" si="7"/>
        <v>-</v>
      </c>
      <c r="M102" s="561" t="str">
        <f t="shared" si="8"/>
        <v>-</v>
      </c>
      <c r="N102" s="325"/>
      <c r="O102" s="209"/>
      <c r="P102" s="560"/>
      <c r="Q102" s="209"/>
      <c r="R102" s="560"/>
      <c r="S102" s="560"/>
      <c r="T102" s="560"/>
      <c r="U102" s="209"/>
      <c r="V102" s="296"/>
      <c r="W102" s="562">
        <f>(K55*100/H76)-((X102*H77/100)*100/H76)-((Y102*H78/100)*100/H76)-((Z102*H79/100)*100/H76)-((AA102*H80/100)*100/H76)</f>
        <v>42.083533333333328</v>
      </c>
      <c r="X102" s="563">
        <f>L55*100/I77</f>
        <v>21.114000000000001</v>
      </c>
      <c r="Y102" s="563">
        <f>M55*100/J78-(X102*J77/100)</f>
        <v>17.7681</v>
      </c>
      <c r="Z102" s="563">
        <f>N55*100/K79</f>
        <v>0</v>
      </c>
      <c r="AA102" s="563">
        <f>O55*100/L80</f>
        <v>80</v>
      </c>
      <c r="AB102" s="563">
        <f>(P55*100/M81)-(W102*M76/100)-(X102*M77/100)-(Y102*M78/100)-(Z102*M79/100)-(AA102*M80/100)</f>
        <v>-8.3368421052631572</v>
      </c>
      <c r="AC102" s="296"/>
    </row>
    <row r="103" spans="1:29" s="60" customFormat="1" ht="15" customHeight="1" x14ac:dyDescent="0.2">
      <c r="A103" s="266"/>
      <c r="B103" s="266"/>
      <c r="D103" s="552">
        <v>9</v>
      </c>
      <c r="E103" s="828"/>
      <c r="F103" s="829"/>
      <c r="G103" s="830"/>
      <c r="H103" s="561">
        <f t="shared" si="3"/>
        <v>18.593808771929822</v>
      </c>
      <c r="I103" s="561" t="str">
        <f t="shared" si="4"/>
        <v>-</v>
      </c>
      <c r="J103" s="561">
        <f t="shared" si="5"/>
        <v>30.459600000000005</v>
      </c>
      <c r="K103" s="561">
        <f t="shared" si="6"/>
        <v>15.789473684210526</v>
      </c>
      <c r="L103" s="561" t="str">
        <f t="shared" si="7"/>
        <v>-</v>
      </c>
      <c r="M103" s="561" t="str">
        <f t="shared" si="8"/>
        <v>-</v>
      </c>
      <c r="N103" s="325"/>
      <c r="O103" s="209"/>
      <c r="P103" s="560"/>
      <c r="Q103" s="209"/>
      <c r="R103" s="560"/>
      <c r="S103" s="560"/>
      <c r="T103" s="560"/>
      <c r="U103" s="209"/>
      <c r="V103" s="296"/>
      <c r="W103" s="562">
        <f>(K56*100/H76)-((X103*H77/100)*100/H76)-((Y103*H78/100)*100/H76)-((Z103*H79/100)*100/H76)-((AA103*H80/100)*100/H76)</f>
        <v>42.083533333333328</v>
      </c>
      <c r="X103" s="563">
        <f>L56*100/I77</f>
        <v>21.114000000000001</v>
      </c>
      <c r="Y103" s="563">
        <f>M56*100/J78-(X103*J77/100)</f>
        <v>17.7681</v>
      </c>
      <c r="Z103" s="563">
        <f>N56*100/K79</f>
        <v>0</v>
      </c>
      <c r="AA103" s="563">
        <f>O56*100/L80</f>
        <v>60</v>
      </c>
      <c r="AB103" s="563">
        <f>(P56*100/M81)-(W103*M76/100)-(X103*M77/100)-(Y103*M78/100)-(Z103*M79/100)-(AA103*M80/100)</f>
        <v>-5.9368421052631586</v>
      </c>
      <c r="AC103" s="296"/>
    </row>
    <row r="104" spans="1:29" s="60" customFormat="1" ht="15" customHeight="1" x14ac:dyDescent="0.2">
      <c r="A104" s="266"/>
      <c r="B104" s="266"/>
      <c r="D104" s="552">
        <v>10</v>
      </c>
      <c r="E104" s="823" t="s">
        <v>1532</v>
      </c>
      <c r="F104" s="824"/>
      <c r="G104" s="825"/>
      <c r="H104" s="561">
        <f t="shared" si="3"/>
        <v>18.593808771929822</v>
      </c>
      <c r="I104" s="561" t="str">
        <f t="shared" si="4"/>
        <v>-</v>
      </c>
      <c r="J104" s="561">
        <f t="shared" si="5"/>
        <v>12.6915</v>
      </c>
      <c r="K104" s="561">
        <f t="shared" si="6"/>
        <v>15.789473684210526</v>
      </c>
      <c r="L104" s="561" t="str">
        <f t="shared" si="7"/>
        <v>-</v>
      </c>
      <c r="M104" s="561" t="str">
        <f t="shared" si="8"/>
        <v>-</v>
      </c>
      <c r="N104" s="325"/>
      <c r="O104" s="209"/>
      <c r="P104" s="564"/>
      <c r="Q104" s="564"/>
      <c r="R104" s="564"/>
      <c r="S104" s="560"/>
      <c r="T104" s="560"/>
      <c r="U104" s="209"/>
      <c r="V104" s="296"/>
      <c r="W104" s="562">
        <f>(K57*100/H76)-((X104*H77/100)*100/H76)-((Y104*H78/100)*100/H76)-((Z104*H79/100)*100/H76)-((AA104*H80/100)*100/H76)</f>
        <v>40.206733333333332</v>
      </c>
      <c r="X104" s="563">
        <f>L57*100/I77</f>
        <v>28.152000000000001</v>
      </c>
      <c r="Y104" s="563">
        <f>M57*100/J78-(X104*J77/100)</f>
        <v>17.7681</v>
      </c>
      <c r="Z104" s="563">
        <f>N57*100/K79</f>
        <v>0</v>
      </c>
      <c r="AA104" s="563">
        <f>O57*100/L80</f>
        <v>60</v>
      </c>
      <c r="AB104" s="563">
        <f>(P57*100/M81)-(W104*M76/100)-(X104*M77/100)-(Y104*M78/100)-(Z104*M79/100)-(AA104*M80/100)</f>
        <v>-3.4105263157894741</v>
      </c>
      <c r="AC104" s="296"/>
    </row>
    <row r="105" spans="1:29" s="60" customFormat="1" ht="15" customHeight="1" x14ac:dyDescent="0.2">
      <c r="A105" s="266"/>
      <c r="B105" s="266"/>
      <c r="D105" s="552">
        <v>11</v>
      </c>
      <c r="E105" s="826"/>
      <c r="F105" s="748"/>
      <c r="G105" s="827"/>
      <c r="H105" s="561">
        <f t="shared" si="3"/>
        <v>8.0674929824561374</v>
      </c>
      <c r="I105" s="561" t="str">
        <f t="shared" si="4"/>
        <v>-</v>
      </c>
      <c r="J105" s="561">
        <f t="shared" si="5"/>
        <v>10.1532</v>
      </c>
      <c r="K105" s="561">
        <f t="shared" si="6"/>
        <v>47.368421052631582</v>
      </c>
      <c r="L105" s="561" t="str">
        <f t="shared" si="7"/>
        <v>-</v>
      </c>
      <c r="M105" s="561" t="str">
        <f t="shared" si="8"/>
        <v>-</v>
      </c>
      <c r="N105" s="325"/>
      <c r="O105" s="209"/>
      <c r="P105" s="224"/>
      <c r="Q105" s="224"/>
      <c r="R105" s="224"/>
      <c r="S105" s="560"/>
      <c r="T105" s="560"/>
      <c r="U105" s="209"/>
      <c r="V105" s="296"/>
      <c r="W105" s="562">
        <f>(K58*100/H76)-((X105*H77/100)*100/H76)-((Y105*H78/100)*100/H76)-((Z105*H79/100)*100/H76)-((AA105*H80/100)*100/H76)</f>
        <v>71.570899999999995</v>
      </c>
      <c r="X105" s="563">
        <f>L58*100/I77</f>
        <v>0</v>
      </c>
      <c r="Y105" s="563">
        <f>M58*100/J78-(X105*J77/100)</f>
        <v>25.382999999999999</v>
      </c>
      <c r="Z105" s="563">
        <f>N58*100/K79</f>
        <v>0</v>
      </c>
      <c r="AA105" s="563">
        <f>O58*100/L80</f>
        <v>0</v>
      </c>
      <c r="AB105" s="563">
        <f>(P58*100/M81)-(W105*M76/100)-(X105*M77/100)-(Y105*M78/100)-(Z105*M79/100)-(AA105*M80/100)</f>
        <v>5.0526315789473681</v>
      </c>
      <c r="AC105" s="296"/>
    </row>
    <row r="106" spans="1:29" s="60" customFormat="1" ht="15" customHeight="1" x14ac:dyDescent="0.2">
      <c r="A106" s="266"/>
      <c r="B106" s="266"/>
      <c r="C106" s="266"/>
      <c r="D106" s="552">
        <v>12</v>
      </c>
      <c r="E106" s="828"/>
      <c r="F106" s="829"/>
      <c r="G106" s="830"/>
      <c r="H106" s="561">
        <f t="shared" si="3"/>
        <v>18.593808771929822</v>
      </c>
      <c r="I106" s="561" t="str">
        <f t="shared" si="4"/>
        <v>-</v>
      </c>
      <c r="J106" s="561">
        <f t="shared" si="5"/>
        <v>10.1532</v>
      </c>
      <c r="K106" s="561">
        <f t="shared" si="6"/>
        <v>15.789473684210526</v>
      </c>
      <c r="L106" s="561" t="str">
        <f t="shared" si="7"/>
        <v>-</v>
      </c>
      <c r="M106" s="561" t="str">
        <f t="shared" si="8"/>
        <v>-</v>
      </c>
      <c r="N106" s="325"/>
      <c r="O106" s="209"/>
      <c r="P106" s="224"/>
      <c r="Q106" s="224"/>
      <c r="R106" s="224"/>
      <c r="S106" s="560"/>
      <c r="T106" s="560"/>
      <c r="U106" s="209"/>
      <c r="V106" s="296"/>
      <c r="W106" s="562">
        <f>(K59*100/H76)-((X106*H77/100)*100/H76)-((Y106*H78/100)*100/H76)-((Z106*H79/100)*100/H76)-((AA106*H80/100)*100/H76)</f>
        <v>66.307742105263159</v>
      </c>
      <c r="X106" s="563">
        <f>L59*100/I77</f>
        <v>0</v>
      </c>
      <c r="Y106" s="563">
        <f>M59*100/J78-(X106*J77/100)</f>
        <v>25.382999999999999</v>
      </c>
      <c r="Z106" s="563">
        <f>N59*100/K79</f>
        <v>15.789473684210526</v>
      </c>
      <c r="AA106" s="563">
        <f>O59*100/L80</f>
        <v>0</v>
      </c>
      <c r="AB106" s="563">
        <f>(P59*100/M81)-(W106*M76/100)-(X106*M77/100)-(Y106*M78/100)-(Z106*M79/100)-(AA106*M80/100)</f>
        <v>1.263157894736842</v>
      </c>
      <c r="AC106" s="296"/>
    </row>
    <row r="107" spans="1:29" s="60" customFormat="1" ht="15" customHeight="1" x14ac:dyDescent="0.2">
      <c r="A107" s="266"/>
      <c r="B107" s="266"/>
      <c r="C107" s="266"/>
      <c r="D107" s="815" t="s">
        <v>1570</v>
      </c>
      <c r="E107" s="815"/>
      <c r="F107" s="815"/>
      <c r="G107" s="815"/>
      <c r="H107" s="565">
        <f>SUM(W102:W113)</f>
        <v>405.739754385965</v>
      </c>
      <c r="I107" s="549">
        <f>SUM(X102:X113)</f>
        <v>70.38</v>
      </c>
      <c r="J107" s="549">
        <f>SUM(Y102:Y113)-(X102*J77/100)</f>
        <v>253.82999999999996</v>
      </c>
      <c r="K107" s="549">
        <f>SUM(Z102:Z113)</f>
        <v>157.89473684210526</v>
      </c>
      <c r="L107" s="549">
        <f>SUM(AA102:AA113)</f>
        <v>200</v>
      </c>
      <c r="M107" s="549">
        <f>SUM(AB102:AB113)</f>
        <v>-11.368421052631581</v>
      </c>
      <c r="N107" s="224"/>
      <c r="O107" s="564"/>
      <c r="P107" s="224"/>
      <c r="Q107" s="224"/>
      <c r="R107" s="224"/>
      <c r="S107" s="560"/>
      <c r="T107" s="560"/>
      <c r="U107" s="209"/>
      <c r="V107" s="296"/>
      <c r="W107" s="562">
        <f>(K60*100/H76)-((X107*H77/100)*100/H76)-((Y107*H78/100)*100/H76)-((Z107*H79/100)*100/H76)-((AA107*H80/100)*100/H76)</f>
        <v>42.450775438596487</v>
      </c>
      <c r="X107" s="563">
        <f>L60*100/I77</f>
        <v>0</v>
      </c>
      <c r="Y107" s="563">
        <f>M60*100/J78-(X107*J77/100)</f>
        <v>25.382999999999999</v>
      </c>
      <c r="Z107" s="563">
        <f>N60*100/K79</f>
        <v>15.789473684210526</v>
      </c>
      <c r="AA107" s="563">
        <f>O60*100/L80</f>
        <v>0</v>
      </c>
      <c r="AB107" s="563">
        <f>(P60*100/M81)-(W107*M76/100)-(X107*M77/100)-(Y107*M78/100)-(Z107*M79/100)-(AA107*M80/100)</f>
        <v>0</v>
      </c>
      <c r="AC107" s="296"/>
    </row>
    <row r="108" spans="1:29" s="60" customFormat="1" ht="15" customHeight="1" x14ac:dyDescent="0.2">
      <c r="A108" s="266"/>
      <c r="B108" s="266"/>
      <c r="C108" s="266"/>
      <c r="D108" s="260"/>
      <c r="E108" s="260"/>
      <c r="F108" s="260"/>
      <c r="G108" s="260"/>
      <c r="H108" s="260"/>
      <c r="I108" s="222"/>
      <c r="J108" s="222"/>
      <c r="K108" s="224"/>
      <c r="L108" s="224"/>
      <c r="M108" s="224"/>
      <c r="N108" s="266"/>
      <c r="O108" s="266"/>
      <c r="P108" s="266"/>
      <c r="Q108" s="266"/>
      <c r="R108" s="266"/>
      <c r="S108" s="560"/>
      <c r="T108" s="560"/>
      <c r="U108" s="209"/>
      <c r="V108" s="296"/>
      <c r="W108" s="562">
        <f>(K61*100/H76)-((X108*H77/100)*100/H76)-((Y108*H78/100)*100/H76)-((Z108*H79/100)*100/H76)-((AA108*H80/100)*100/H76)</f>
        <v>18.593808771929822</v>
      </c>
      <c r="X108" s="563">
        <f>L61*100/I77</f>
        <v>0</v>
      </c>
      <c r="Y108" s="563">
        <f>M61*100/J78-(X108*J77/100)</f>
        <v>30.459600000000005</v>
      </c>
      <c r="Z108" s="563">
        <f>N61*100/K79</f>
        <v>15.789473684210526</v>
      </c>
      <c r="AA108" s="563">
        <f>O61*100/L80</f>
        <v>0</v>
      </c>
      <c r="AB108" s="563">
        <f>(P61*100/M81)-(W108*M76/100)-(X108*M77/100)-(Y108*M78/100)-(Z108*M79/100)-(AA108*M80/100)</f>
        <v>0</v>
      </c>
      <c r="AC108" s="296"/>
    </row>
    <row r="109" spans="1:29" s="60" customFormat="1" ht="15" customHeight="1" x14ac:dyDescent="0.2">
      <c r="A109" s="266"/>
      <c r="B109" s="266"/>
      <c r="C109" s="266"/>
      <c r="D109" s="409"/>
      <c r="E109" s="260"/>
      <c r="F109" s="260"/>
      <c r="G109" s="260"/>
      <c r="H109" s="260"/>
      <c r="I109" s="222"/>
      <c r="J109" s="222"/>
      <c r="K109" s="224"/>
      <c r="L109" s="224"/>
      <c r="M109" s="224"/>
      <c r="N109" s="266"/>
      <c r="O109" s="266"/>
      <c r="P109" s="266"/>
      <c r="Q109" s="266"/>
      <c r="R109" s="266"/>
      <c r="S109" s="560"/>
      <c r="T109" s="560"/>
      <c r="U109" s="209"/>
      <c r="V109" s="296"/>
      <c r="W109" s="562">
        <f>(K62*100/H76)-((X109*H77/100)*100/H76)-((Y109*H78/100)*100/H76)-((Z109*H79/100)*100/H76)-((AA109*H80/100)*100/H76)</f>
        <v>18.593808771929822</v>
      </c>
      <c r="X109" s="563">
        <f>L62*100/I77</f>
        <v>0</v>
      </c>
      <c r="Y109" s="563">
        <f>M62*100/J78-(X109*J77/100)</f>
        <v>30.459600000000005</v>
      </c>
      <c r="Z109" s="563">
        <f>N62*100/K79</f>
        <v>15.789473684210526</v>
      </c>
      <c r="AA109" s="563">
        <f>O62*100/L80</f>
        <v>0</v>
      </c>
      <c r="AB109" s="563">
        <f>(P62*100/M81)-(W109*M76/100)-(X109*M77/100)-(Y109*M78/100)-(Z109*M79/100)-(AA109*M80/100)</f>
        <v>0</v>
      </c>
      <c r="AC109" s="296"/>
    </row>
    <row r="110" spans="1:29" ht="15" customHeight="1" x14ac:dyDescent="0.2">
      <c r="D110" s="257"/>
      <c r="S110" s="560"/>
      <c r="T110" s="560"/>
      <c r="U110" s="209"/>
      <c r="V110" s="27"/>
      <c r="W110" s="562">
        <f>(K63*100/H76)-((X110*H77/100)*100/H76)-((Y110*H78/100)*100/H76)-((Z110*H79/100)*100/H76)-((AA110*H80/100)*100/H76)</f>
        <v>18.593808771929822</v>
      </c>
      <c r="X110" s="563">
        <f>L63*100/I77</f>
        <v>0</v>
      </c>
      <c r="Y110" s="563">
        <f>M63*100/J78-(X110*J77/100)</f>
        <v>30.459600000000005</v>
      </c>
      <c r="Z110" s="563">
        <f>N63*100/K79</f>
        <v>15.789473684210526</v>
      </c>
      <c r="AA110" s="563">
        <f>O63*100/L80</f>
        <v>0</v>
      </c>
      <c r="AB110" s="563">
        <f>(P63*100/M81)-(W110*M76/100)-(X110*M77/100)-(Y110*M78/100)-(Z110*M79/100)-(AA110*M80/100)</f>
        <v>0</v>
      </c>
      <c r="AC110" s="27"/>
    </row>
    <row r="111" spans="1:29" ht="15" customHeight="1" x14ac:dyDescent="0.2">
      <c r="D111" s="49"/>
      <c r="S111" s="564"/>
      <c r="T111" s="564"/>
      <c r="U111" s="566"/>
      <c r="V111" s="27"/>
      <c r="W111" s="562">
        <f>(K64*100/H76)-((X111*H77/100)*100/H76)-((Y111*H78/100)*100/H76)-((Z111*H79/100)*100/H76)-((AA111*H80/100)*100/H76)</f>
        <v>18.593808771929822</v>
      </c>
      <c r="X111" s="563">
        <f>L64*100/I77</f>
        <v>0</v>
      </c>
      <c r="Y111" s="563">
        <f>M64*100/J78-(X111*J77/100)</f>
        <v>12.6915</v>
      </c>
      <c r="Z111" s="563">
        <f>N64*100/K79</f>
        <v>15.789473684210526</v>
      </c>
      <c r="AA111" s="563">
        <f>O64*100/L80</f>
        <v>0</v>
      </c>
      <c r="AB111" s="563">
        <f>(P64*100/M81)-(W111*M76/100)-(X111*M77/100)-(Y111*M78/100)-(Z111*M79/100)-(AA111*M80/100)</f>
        <v>0</v>
      </c>
      <c r="AC111" s="27"/>
    </row>
    <row r="112" spans="1:29" ht="15" customHeight="1" x14ac:dyDescent="0.2">
      <c r="D112" s="49"/>
      <c r="S112" s="224"/>
      <c r="T112" s="224"/>
      <c r="V112" s="27"/>
      <c r="W112" s="562">
        <f>(K65*100/H76)-((X112*H77/100)*100/H76)-((Y112*H78/100)*100/H76)-((Z112*H79/100)*100/H76)-((AA112*H80/100)*100/H76)</f>
        <v>8.0674929824561374</v>
      </c>
      <c r="X112" s="563">
        <f>L65*100/I77</f>
        <v>0</v>
      </c>
      <c r="Y112" s="563">
        <f>M65*100/J78-(X112*J77/100)</f>
        <v>10.1532</v>
      </c>
      <c r="Z112" s="563">
        <f>N65*100/K79</f>
        <v>47.368421052631582</v>
      </c>
      <c r="AA112" s="563">
        <f>O65*100/L80</f>
        <v>0</v>
      </c>
      <c r="AB112" s="563">
        <f>(P65*100/M81)-(W112*M76/100)-(X112*M77/100)-(Y112*M78/100)-(Z112*M79/100)-(AA112*M80/100)</f>
        <v>0</v>
      </c>
      <c r="AC112" s="27"/>
    </row>
    <row r="113" spans="4:36" ht="15" customHeight="1" x14ac:dyDescent="0.2">
      <c r="D113" s="49"/>
      <c r="S113" s="224"/>
      <c r="T113" s="224"/>
      <c r="V113" s="27"/>
      <c r="W113" s="562">
        <f>(K66*100/H76)-((X113*H77/100)*100/H76)-((Y113*H78/100)*100/H76)-((Z113*H79/100)*100/H76)-((AA113*H80/100)*100/H76)</f>
        <v>18.593808771929822</v>
      </c>
      <c r="X113" s="563">
        <f>L66*100/I77</f>
        <v>0</v>
      </c>
      <c r="Y113" s="563">
        <f>M66*100/J78-(X113*J77/100)</f>
        <v>10.1532</v>
      </c>
      <c r="Z113" s="563">
        <f>N66*100/K79</f>
        <v>15.789473684210526</v>
      </c>
      <c r="AA113" s="563">
        <f>O66*100/L80</f>
        <v>0</v>
      </c>
      <c r="AB113" s="563">
        <f>(P66*100/M81)-(W113*M76/100)-(X113*M77/100)-(Y113*M78/100)-(Z113*M79/100)-(AA113*M80/100)</f>
        <v>0</v>
      </c>
      <c r="AC113" s="27"/>
    </row>
    <row r="114" spans="4:36" ht="15" customHeight="1" x14ac:dyDescent="0.2">
      <c r="D114" s="49"/>
      <c r="I114" s="49"/>
      <c r="S114" s="224"/>
      <c r="T114" s="224"/>
      <c r="V114" s="27"/>
      <c r="W114" s="27"/>
      <c r="X114" s="263"/>
      <c r="Y114" s="263"/>
      <c r="Z114" s="263"/>
      <c r="AA114" s="263"/>
      <c r="AB114" s="27"/>
      <c r="AC114" s="27"/>
    </row>
    <row r="115" spans="4:36" ht="15" customHeight="1" x14ac:dyDescent="0.2">
      <c r="D115" s="49"/>
      <c r="V115" s="27"/>
      <c r="W115" s="27"/>
      <c r="X115" s="263"/>
      <c r="Y115" s="263"/>
      <c r="Z115" s="263"/>
      <c r="AA115" s="263"/>
      <c r="AB115" s="27"/>
      <c r="AC115" s="27"/>
    </row>
    <row r="116" spans="4:36" ht="15" customHeight="1" x14ac:dyDescent="0.2">
      <c r="D116" s="49"/>
      <c r="V116" s="27"/>
      <c r="W116" s="27"/>
      <c r="X116" s="263"/>
      <c r="Y116" s="263"/>
      <c r="Z116" s="263"/>
      <c r="AA116" s="263"/>
      <c r="AB116" s="27"/>
      <c r="AC116" s="27"/>
    </row>
    <row r="117" spans="4:36" ht="15" customHeight="1" x14ac:dyDescent="0.2">
      <c r="D117" s="49"/>
      <c r="V117" s="27"/>
      <c r="W117" s="27"/>
      <c r="X117" s="263"/>
      <c r="Y117" s="263"/>
      <c r="Z117" s="263"/>
      <c r="AA117" s="263"/>
      <c r="AB117" s="27"/>
      <c r="AC117" s="27"/>
    </row>
    <row r="118" spans="4:36" ht="15" customHeight="1" x14ac:dyDescent="0.2">
      <c r="D118" s="49"/>
      <c r="V118" s="266"/>
      <c r="W118" s="266"/>
      <c r="Z118" s="265"/>
      <c r="AA118" s="265"/>
    </row>
    <row r="119" spans="4:36" ht="15" customHeight="1" x14ac:dyDescent="0.2">
      <c r="V119" s="266"/>
      <c r="W119" s="266"/>
      <c r="Z119" s="265"/>
      <c r="AA119" s="265"/>
    </row>
    <row r="120" spans="4:36" ht="15" customHeight="1" x14ac:dyDescent="0.25">
      <c r="D120" s="49"/>
      <c r="E120" s="49"/>
      <c r="M120" s="567"/>
      <c r="N120" s="567"/>
      <c r="O120" s="567"/>
      <c r="V120" s="266"/>
      <c r="W120" s="266"/>
      <c r="X120" s="266"/>
      <c r="Z120" s="265"/>
      <c r="AA120" s="265"/>
      <c r="AB120" s="265"/>
    </row>
    <row r="121" spans="4:36" ht="15" customHeight="1" x14ac:dyDescent="0.2">
      <c r="E121" s="49"/>
      <c r="V121" s="266"/>
      <c r="W121" s="266"/>
      <c r="X121" s="266"/>
      <c r="Z121" s="265"/>
      <c r="AA121" s="265"/>
      <c r="AB121" s="265"/>
    </row>
    <row r="122" spans="4:36" ht="15" customHeight="1" x14ac:dyDescent="0.2">
      <c r="V122" s="266"/>
      <c r="W122" s="266"/>
      <c r="X122" s="266"/>
      <c r="Z122" s="265"/>
      <c r="AA122" s="265"/>
      <c r="AB122" s="265"/>
    </row>
    <row r="123" spans="4:36" ht="15" customHeight="1" x14ac:dyDescent="0.2">
      <c r="V123" s="266"/>
      <c r="W123" s="221" t="s">
        <v>1581</v>
      </c>
      <c r="X123" s="27"/>
      <c r="Y123" s="27"/>
      <c r="Z123" s="27"/>
      <c r="AA123" s="27"/>
      <c r="AB123" s="27"/>
      <c r="AC123" s="27"/>
      <c r="AD123" s="27"/>
    </row>
    <row r="124" spans="4:36" ht="15" customHeight="1" x14ac:dyDescent="0.2">
      <c r="V124" s="266"/>
      <c r="W124" s="27"/>
      <c r="X124" s="27"/>
      <c r="Y124" s="27"/>
      <c r="Z124" s="27"/>
      <c r="AA124" s="27"/>
      <c r="AB124" s="27"/>
      <c r="AC124" s="27"/>
      <c r="AD124" s="27"/>
    </row>
    <row r="125" spans="4:36" ht="15" customHeight="1" x14ac:dyDescent="0.2">
      <c r="V125" s="266"/>
      <c r="W125" s="221" t="s">
        <v>1582</v>
      </c>
      <c r="X125" s="27"/>
      <c r="Y125" s="27"/>
      <c r="Z125" s="27"/>
      <c r="AA125" s="27"/>
      <c r="AB125" s="27"/>
      <c r="AC125" s="221" t="s">
        <v>1583</v>
      </c>
      <c r="AD125" s="27"/>
      <c r="AE125" s="27"/>
      <c r="AF125" s="27"/>
      <c r="AG125" s="27"/>
      <c r="AH125" s="265"/>
      <c r="AI125" s="265"/>
      <c r="AJ125" s="265"/>
    </row>
    <row r="126" spans="4:36" ht="15" customHeight="1" x14ac:dyDescent="0.2">
      <c r="V126" s="266"/>
      <c r="W126" s="27" t="s">
        <v>1584</v>
      </c>
      <c r="X126" s="27"/>
      <c r="Y126" s="27"/>
      <c r="Z126" s="27"/>
      <c r="AA126" s="27"/>
      <c r="AB126" s="27"/>
      <c r="AC126" s="26" t="s">
        <v>1585</v>
      </c>
      <c r="AD126" s="27"/>
      <c r="AE126" s="27"/>
      <c r="AF126" s="27"/>
      <c r="AG126" s="27"/>
      <c r="AH126" s="265"/>
      <c r="AJ126" s="265"/>
    </row>
    <row r="127" spans="4:36" ht="15" customHeight="1" x14ac:dyDescent="0.2">
      <c r="V127" s="266"/>
      <c r="W127" s="26" t="s">
        <v>1586</v>
      </c>
      <c r="X127" s="27"/>
      <c r="Y127" s="27"/>
      <c r="Z127" s="27"/>
      <c r="AA127" s="27"/>
      <c r="AB127" s="27"/>
      <c r="AC127" s="26" t="s">
        <v>1587</v>
      </c>
      <c r="AD127" s="27"/>
      <c r="AE127" s="27"/>
      <c r="AF127" s="27"/>
      <c r="AG127" s="27"/>
      <c r="AH127" s="265"/>
      <c r="AI127" s="265"/>
      <c r="AJ127" s="265"/>
    </row>
    <row r="128" spans="4:36" ht="15" customHeight="1" x14ac:dyDescent="0.2">
      <c r="V128" s="266"/>
      <c r="W128" s="26" t="s">
        <v>1588</v>
      </c>
      <c r="X128" s="27"/>
      <c r="Y128" s="27"/>
      <c r="Z128" s="27"/>
      <c r="AA128" s="27"/>
      <c r="AB128" s="27"/>
      <c r="AC128" s="26" t="s">
        <v>1589</v>
      </c>
    </row>
    <row r="129" spans="5:37" ht="15" customHeight="1" x14ac:dyDescent="0.2">
      <c r="V129" s="266"/>
      <c r="W129" s="26" t="s">
        <v>1590</v>
      </c>
      <c r="X129" s="27"/>
      <c r="Y129" s="27"/>
      <c r="Z129" s="27"/>
      <c r="AA129" s="27"/>
      <c r="AB129" s="27"/>
      <c r="AI129" s="256" t="s">
        <v>1591</v>
      </c>
    </row>
    <row r="130" spans="5:37" ht="15" customHeight="1" x14ac:dyDescent="0.2">
      <c r="V130" s="266"/>
      <c r="W130" s="26" t="s">
        <v>1592</v>
      </c>
      <c r="X130" s="27"/>
      <c r="Y130" s="27"/>
      <c r="Z130" s="27"/>
      <c r="AA130" s="27"/>
      <c r="AB130" s="27"/>
      <c r="AC130" s="26" t="s">
        <v>1593</v>
      </c>
      <c r="AD130" s="27"/>
      <c r="AE130" s="27"/>
      <c r="AF130" s="27"/>
      <c r="AG130" s="27"/>
      <c r="AH130" s="256" t="s">
        <v>1594</v>
      </c>
      <c r="AI130" s="256" t="s">
        <v>1595</v>
      </c>
      <c r="AJ130" s="818" t="s">
        <v>1596</v>
      </c>
      <c r="AK130" s="818"/>
    </row>
    <row r="131" spans="5:37" ht="15" customHeight="1" x14ac:dyDescent="0.2">
      <c r="V131" s="266"/>
      <c r="W131" s="26" t="s">
        <v>1597</v>
      </c>
      <c r="X131" s="27"/>
      <c r="Y131" s="27"/>
      <c r="Z131" s="27"/>
      <c r="AA131" s="27"/>
      <c r="AB131" s="27"/>
      <c r="AC131" s="26" t="s">
        <v>1598</v>
      </c>
      <c r="AD131" s="27"/>
      <c r="AE131" s="27"/>
      <c r="AF131" s="27"/>
      <c r="AG131" s="399" t="s">
        <v>385</v>
      </c>
      <c r="AH131" s="171">
        <v>2.9</v>
      </c>
      <c r="AI131" s="265">
        <v>3.2</v>
      </c>
      <c r="AJ131" s="396">
        <f t="shared" ref="AJ131:AJ141" si="9">(AI131+(AI131*0.3))</f>
        <v>4.16</v>
      </c>
    </row>
    <row r="132" spans="5:37" ht="15" customHeight="1" x14ac:dyDescent="0.2">
      <c r="V132" s="266"/>
      <c r="W132" s="26" t="s">
        <v>1599</v>
      </c>
      <c r="X132" s="27"/>
      <c r="Y132" s="27"/>
      <c r="Z132" s="27"/>
      <c r="AA132" s="27"/>
      <c r="AB132" s="27"/>
      <c r="AC132" s="26" t="s">
        <v>1600</v>
      </c>
      <c r="AD132" s="27"/>
      <c r="AE132" s="27"/>
      <c r="AF132" s="27"/>
      <c r="AG132" s="399" t="s">
        <v>1138</v>
      </c>
      <c r="AH132" s="171">
        <v>0.12</v>
      </c>
      <c r="AI132" s="265">
        <v>1.1599999999999999</v>
      </c>
      <c r="AJ132" s="396">
        <f t="shared" si="9"/>
        <v>1.508</v>
      </c>
    </row>
    <row r="133" spans="5:37" ht="15" customHeight="1" x14ac:dyDescent="0.2">
      <c r="V133" s="266"/>
      <c r="W133" s="26" t="s">
        <v>1601</v>
      </c>
      <c r="X133" s="27"/>
      <c r="Y133" s="27"/>
      <c r="Z133" s="27"/>
      <c r="AA133" s="27"/>
      <c r="AB133" s="27"/>
      <c r="AC133" s="26" t="s">
        <v>1602</v>
      </c>
      <c r="AD133" s="27"/>
      <c r="AE133" s="27"/>
      <c r="AF133" s="27"/>
      <c r="AG133" s="399" t="s">
        <v>1125</v>
      </c>
      <c r="AH133" s="171">
        <v>1.8</v>
      </c>
      <c r="AI133" s="265">
        <v>2.2000000000000002</v>
      </c>
      <c r="AJ133" s="396">
        <f t="shared" si="9"/>
        <v>2.8600000000000003</v>
      </c>
    </row>
    <row r="134" spans="5:37" ht="15" customHeight="1" x14ac:dyDescent="0.2">
      <c r="V134" s="266"/>
      <c r="W134" s="26" t="s">
        <v>1603</v>
      </c>
      <c r="X134" s="27"/>
      <c r="Y134" s="27"/>
      <c r="Z134" s="27"/>
      <c r="AA134" s="27"/>
      <c r="AB134" s="27"/>
      <c r="AC134" s="26" t="s">
        <v>1604</v>
      </c>
      <c r="AD134" s="27"/>
      <c r="AE134" s="27"/>
      <c r="AF134" s="27"/>
      <c r="AG134" s="399" t="s">
        <v>1124</v>
      </c>
      <c r="AH134" s="171">
        <v>1</v>
      </c>
      <c r="AI134" s="265">
        <v>1.3</v>
      </c>
      <c r="AJ134" s="396">
        <f t="shared" si="9"/>
        <v>1.69</v>
      </c>
    </row>
    <row r="135" spans="5:37" ht="15" customHeight="1" x14ac:dyDescent="0.2">
      <c r="V135" s="266"/>
      <c r="W135" s="485" t="s">
        <v>1605</v>
      </c>
      <c r="X135" s="118"/>
      <c r="Y135" s="118"/>
      <c r="Z135" s="118"/>
      <c r="AB135" s="260"/>
      <c r="AC135" s="26" t="s">
        <v>1606</v>
      </c>
      <c r="AD135" s="27"/>
      <c r="AE135" s="27"/>
      <c r="AF135" s="27"/>
      <c r="AG135" s="399" t="s">
        <v>1123</v>
      </c>
      <c r="AH135" s="171">
        <v>0.31</v>
      </c>
      <c r="AI135" s="265">
        <v>1.45</v>
      </c>
      <c r="AJ135" s="396">
        <f t="shared" si="9"/>
        <v>1.885</v>
      </c>
    </row>
    <row r="136" spans="5:37" ht="15" customHeight="1" x14ac:dyDescent="0.2">
      <c r="F136" s="893" t="s">
        <v>1578</v>
      </c>
      <c r="V136" s="266"/>
      <c r="W136" s="819" t="s">
        <v>1607</v>
      </c>
      <c r="X136" s="819"/>
      <c r="Y136" s="819"/>
      <c r="Z136" s="819"/>
      <c r="AA136" s="260"/>
      <c r="AB136" s="222"/>
      <c r="AC136" s="26" t="s">
        <v>1608</v>
      </c>
      <c r="AD136" s="27"/>
      <c r="AE136" s="27"/>
      <c r="AF136" s="27"/>
      <c r="AG136" s="399" t="s">
        <v>292</v>
      </c>
      <c r="AH136" s="171">
        <v>0.15</v>
      </c>
      <c r="AI136" s="209">
        <v>0.2</v>
      </c>
      <c r="AJ136" s="209">
        <f t="shared" si="9"/>
        <v>0.26</v>
      </c>
    </row>
    <row r="137" spans="5:37" ht="15" customHeight="1" x14ac:dyDescent="0.2">
      <c r="V137" s="266"/>
      <c r="W137" s="260"/>
      <c r="X137" s="260"/>
      <c r="Y137" s="260"/>
      <c r="Z137" s="260"/>
      <c r="AA137" s="260"/>
      <c r="AB137" s="222"/>
      <c r="AC137" s="26" t="s">
        <v>1609</v>
      </c>
      <c r="AD137" s="27"/>
      <c r="AE137" s="27"/>
      <c r="AF137" s="27"/>
      <c r="AG137" s="399" t="s">
        <v>930</v>
      </c>
      <c r="AH137" s="568" t="s">
        <v>87</v>
      </c>
      <c r="AI137" s="265">
        <v>20</v>
      </c>
      <c r="AJ137" s="396">
        <f t="shared" si="9"/>
        <v>26</v>
      </c>
    </row>
    <row r="138" spans="5:37" ht="15" customHeight="1" x14ac:dyDescent="0.2">
      <c r="E138" s="302" t="s">
        <v>1571</v>
      </c>
      <c r="F138" s="49"/>
      <c r="G138" s="49"/>
      <c r="H138" s="49"/>
      <c r="I138" s="49"/>
      <c r="J138" s="49"/>
      <c r="K138" s="49"/>
      <c r="L138" s="49"/>
      <c r="V138" s="266"/>
      <c r="W138" s="266"/>
      <c r="X138" s="266"/>
      <c r="Y138" s="266"/>
      <c r="AC138" s="26" t="s">
        <v>1610</v>
      </c>
      <c r="AD138" s="27"/>
      <c r="AE138" s="27"/>
      <c r="AF138" s="27"/>
      <c r="AG138" s="399" t="s">
        <v>933</v>
      </c>
      <c r="AH138" s="171">
        <v>40</v>
      </c>
      <c r="AI138" s="265">
        <v>80</v>
      </c>
      <c r="AJ138" s="396">
        <f t="shared" si="9"/>
        <v>104</v>
      </c>
    </row>
    <row r="139" spans="5:37" ht="15" customHeight="1" x14ac:dyDescent="0.2">
      <c r="E139" s="814" t="s">
        <v>1572</v>
      </c>
      <c r="F139" s="814"/>
      <c r="G139" s="816" t="s">
        <v>1573</v>
      </c>
      <c r="H139" s="736"/>
      <c r="I139" s="736"/>
      <c r="J139" s="736"/>
      <c r="K139" s="736"/>
      <c r="L139" s="817"/>
      <c r="V139" s="266"/>
      <c r="W139" s="266"/>
      <c r="X139" s="266"/>
      <c r="Y139" s="266"/>
      <c r="AC139" s="273" t="s">
        <v>1611</v>
      </c>
      <c r="AD139" s="273"/>
      <c r="AE139" s="273"/>
      <c r="AF139" s="273"/>
      <c r="AG139" s="317" t="s">
        <v>931</v>
      </c>
      <c r="AH139" s="569" t="s">
        <v>320</v>
      </c>
      <c r="AI139" s="265">
        <v>16</v>
      </c>
      <c r="AJ139" s="396">
        <f t="shared" si="9"/>
        <v>20.8</v>
      </c>
    </row>
    <row r="140" spans="5:37" ht="15" customHeight="1" x14ac:dyDescent="0.2">
      <c r="E140" s="816"/>
      <c r="F140" s="817"/>
      <c r="G140" s="814" t="s">
        <v>1574</v>
      </c>
      <c r="H140" s="814"/>
      <c r="I140" s="814" t="s">
        <v>1575</v>
      </c>
      <c r="J140" s="814"/>
      <c r="K140" s="814" t="s">
        <v>1576</v>
      </c>
      <c r="L140" s="814"/>
      <c r="V140" s="266"/>
      <c r="W140" s="266"/>
      <c r="X140" s="266"/>
      <c r="Y140" s="266"/>
      <c r="AC140" s="352" t="s">
        <v>1612</v>
      </c>
      <c r="AD140" s="352"/>
      <c r="AE140" s="27"/>
      <c r="AF140" s="27"/>
      <c r="AG140" s="399" t="s">
        <v>929</v>
      </c>
      <c r="AH140" s="251">
        <v>70</v>
      </c>
      <c r="AI140" s="265">
        <v>80</v>
      </c>
      <c r="AJ140" s="396">
        <f t="shared" si="9"/>
        <v>104</v>
      </c>
    </row>
    <row r="141" spans="5:37" ht="15" customHeight="1" x14ac:dyDescent="0.2">
      <c r="E141" s="814" t="s">
        <v>1502</v>
      </c>
      <c r="F141" s="814"/>
      <c r="G141" s="813" t="s">
        <v>1627</v>
      </c>
      <c r="H141" s="813"/>
      <c r="I141" s="813" t="s">
        <v>1640</v>
      </c>
      <c r="J141" s="813"/>
      <c r="K141" s="813" t="s">
        <v>1641</v>
      </c>
      <c r="L141" s="813"/>
      <c r="V141" s="266"/>
      <c r="W141" s="266"/>
      <c r="X141" s="266"/>
      <c r="Y141" s="266"/>
      <c r="AC141" s="224"/>
      <c r="AD141" s="224"/>
      <c r="AE141" s="27"/>
      <c r="AF141" s="27"/>
      <c r="AG141" s="399" t="s">
        <v>932</v>
      </c>
      <c r="AH141" s="171">
        <v>50</v>
      </c>
      <c r="AI141" s="265">
        <v>200</v>
      </c>
      <c r="AJ141" s="396">
        <f t="shared" si="9"/>
        <v>260</v>
      </c>
    </row>
    <row r="142" spans="5:37" ht="15" customHeight="1" x14ac:dyDescent="0.2">
      <c r="E142" s="814" t="s">
        <v>1577</v>
      </c>
      <c r="F142" s="814"/>
      <c r="G142" s="813" t="s">
        <v>1621</v>
      </c>
      <c r="H142" s="813"/>
      <c r="I142" s="813" t="s">
        <v>1628</v>
      </c>
      <c r="J142" s="813"/>
      <c r="K142" s="813" t="s">
        <v>1642</v>
      </c>
      <c r="L142" s="813"/>
      <c r="V142" s="266"/>
      <c r="W142" s="266"/>
      <c r="X142" s="266"/>
      <c r="Z142" s="265"/>
      <c r="AA142" s="265"/>
      <c r="AB142" s="265"/>
    </row>
    <row r="143" spans="5:37" ht="15" customHeight="1" x14ac:dyDescent="0.2">
      <c r="E143" s="814" t="s">
        <v>2107</v>
      </c>
      <c r="F143" s="814"/>
      <c r="G143" s="813" t="s">
        <v>1622</v>
      </c>
      <c r="H143" s="813"/>
      <c r="I143" s="813" t="s">
        <v>1629</v>
      </c>
      <c r="J143" s="813"/>
      <c r="K143" s="813" t="s">
        <v>1643</v>
      </c>
      <c r="L143" s="813"/>
      <c r="V143" s="266"/>
      <c r="W143" s="266"/>
      <c r="X143" s="266"/>
      <c r="Z143" s="265"/>
      <c r="AA143" s="265"/>
      <c r="AB143" s="265"/>
    </row>
    <row r="144" spans="5:37" ht="15" customHeight="1" x14ac:dyDescent="0.2">
      <c r="E144" s="814" t="s">
        <v>2108</v>
      </c>
      <c r="F144" s="814"/>
      <c r="G144" s="813" t="s">
        <v>1630</v>
      </c>
      <c r="H144" s="813"/>
      <c r="I144" s="813" t="s">
        <v>1631</v>
      </c>
      <c r="J144" s="813"/>
      <c r="K144" s="813" t="s">
        <v>1644</v>
      </c>
      <c r="L144" s="813"/>
      <c r="V144" s="266"/>
      <c r="W144" s="266"/>
      <c r="X144" s="266"/>
      <c r="Z144" s="265"/>
      <c r="AA144" s="265"/>
      <c r="AB144" s="265"/>
    </row>
    <row r="145" spans="5:29" ht="15" customHeight="1" x14ac:dyDescent="0.2">
      <c r="E145" s="814" t="s">
        <v>2109</v>
      </c>
      <c r="F145" s="814"/>
      <c r="G145" s="813" t="s">
        <v>1623</v>
      </c>
      <c r="H145" s="813"/>
      <c r="I145" s="813" t="s">
        <v>1632</v>
      </c>
      <c r="J145" s="813"/>
      <c r="K145" s="813" t="s">
        <v>1645</v>
      </c>
      <c r="L145" s="813"/>
      <c r="V145" s="266"/>
      <c r="W145" s="266"/>
      <c r="X145" s="266"/>
      <c r="Y145" s="266"/>
      <c r="Z145" s="265"/>
      <c r="AA145" s="265"/>
      <c r="AB145" s="265"/>
      <c r="AC145" s="265"/>
    </row>
    <row r="146" spans="5:29" ht="15" customHeight="1" x14ac:dyDescent="0.2">
      <c r="E146" s="814" t="s">
        <v>2110</v>
      </c>
      <c r="F146" s="814"/>
      <c r="G146" s="813" t="s">
        <v>1624</v>
      </c>
      <c r="H146" s="813"/>
      <c r="I146" s="813" t="s">
        <v>1633</v>
      </c>
      <c r="J146" s="813"/>
      <c r="K146" s="813" t="s">
        <v>1646</v>
      </c>
      <c r="L146" s="813"/>
      <c r="V146" s="266"/>
      <c r="W146" s="266"/>
      <c r="X146" s="266"/>
      <c r="Y146" s="266"/>
      <c r="Z146" s="265"/>
      <c r="AA146" s="265"/>
      <c r="AB146" s="265"/>
      <c r="AC146" s="265"/>
    </row>
    <row r="147" spans="5:29" ht="15" customHeight="1" x14ac:dyDescent="0.2">
      <c r="E147" s="814" t="s">
        <v>2111</v>
      </c>
      <c r="F147" s="814"/>
      <c r="G147" s="813" t="s">
        <v>1625</v>
      </c>
      <c r="H147" s="813"/>
      <c r="I147" s="813" t="s">
        <v>1634</v>
      </c>
      <c r="J147" s="813"/>
      <c r="K147" s="813" t="s">
        <v>1647</v>
      </c>
      <c r="L147" s="813"/>
      <c r="V147" s="266"/>
      <c r="W147" s="266"/>
      <c r="X147" s="266"/>
      <c r="Y147" s="266"/>
      <c r="Z147" s="265"/>
      <c r="AA147" s="265"/>
      <c r="AB147" s="265"/>
      <c r="AC147" s="265"/>
    </row>
    <row r="148" spans="5:29" ht="15" customHeight="1" x14ac:dyDescent="0.2">
      <c r="E148" s="814" t="s">
        <v>2112</v>
      </c>
      <c r="F148" s="814"/>
      <c r="G148" s="813" t="s">
        <v>402</v>
      </c>
      <c r="H148" s="813"/>
      <c r="I148" s="813" t="s">
        <v>1635</v>
      </c>
      <c r="J148" s="813"/>
      <c r="K148" s="813" t="s">
        <v>1646</v>
      </c>
      <c r="L148" s="813"/>
      <c r="V148" s="266"/>
      <c r="W148" s="266"/>
      <c r="X148" s="266"/>
      <c r="Y148" s="266"/>
      <c r="Z148" s="265"/>
      <c r="AA148" s="265"/>
      <c r="AB148" s="265"/>
      <c r="AC148" s="265"/>
    </row>
    <row r="149" spans="5:29" ht="15" customHeight="1" x14ac:dyDescent="0.2">
      <c r="E149" s="814" t="s">
        <v>2113</v>
      </c>
      <c r="F149" s="814"/>
      <c r="G149" s="813" t="s">
        <v>1626</v>
      </c>
      <c r="H149" s="813"/>
      <c r="I149" s="813" t="s">
        <v>1636</v>
      </c>
      <c r="J149" s="813"/>
      <c r="K149" s="813" t="s">
        <v>1648</v>
      </c>
      <c r="L149" s="813"/>
      <c r="V149" s="266"/>
      <c r="W149" s="266"/>
      <c r="X149" s="266"/>
      <c r="Y149" s="266"/>
      <c r="Z149" s="265"/>
      <c r="AA149" s="265"/>
      <c r="AB149" s="265"/>
      <c r="AC149" s="265"/>
    </row>
    <row r="150" spans="5:29" ht="15" customHeight="1" x14ac:dyDescent="0.2">
      <c r="E150" s="814" t="s">
        <v>2114</v>
      </c>
      <c r="F150" s="814"/>
      <c r="G150" s="813" t="s">
        <v>1624</v>
      </c>
      <c r="H150" s="813"/>
      <c r="I150" s="813" t="s">
        <v>1637</v>
      </c>
      <c r="J150" s="813"/>
      <c r="K150" s="813" t="s">
        <v>1649</v>
      </c>
      <c r="L150" s="813"/>
      <c r="V150" s="266"/>
      <c r="W150" s="266"/>
      <c r="X150" s="266"/>
      <c r="Y150" s="266"/>
      <c r="Z150" s="265"/>
      <c r="AA150" s="265"/>
      <c r="AB150" s="265"/>
      <c r="AC150" s="265"/>
    </row>
    <row r="151" spans="5:29" ht="15" customHeight="1" x14ac:dyDescent="0.2">
      <c r="E151" s="814" t="s">
        <v>933</v>
      </c>
      <c r="F151" s="814"/>
      <c r="G151" s="813" t="s">
        <v>403</v>
      </c>
      <c r="H151" s="813"/>
      <c r="I151" s="813" t="s">
        <v>1638</v>
      </c>
      <c r="J151" s="813"/>
      <c r="K151" s="813" t="s">
        <v>1650</v>
      </c>
      <c r="L151" s="813"/>
      <c r="V151" s="266"/>
      <c r="W151" s="266"/>
      <c r="X151" s="266"/>
      <c r="Y151" s="266"/>
      <c r="Z151" s="265"/>
      <c r="AA151" s="265"/>
      <c r="AB151" s="265"/>
      <c r="AC151" s="265"/>
    </row>
    <row r="152" spans="5:29" ht="15" customHeight="1" x14ac:dyDescent="0.2">
      <c r="E152" s="814" t="s">
        <v>385</v>
      </c>
      <c r="F152" s="814"/>
      <c r="G152" s="813" t="s">
        <v>1488</v>
      </c>
      <c r="H152" s="813"/>
      <c r="I152" s="813" t="s">
        <v>1639</v>
      </c>
      <c r="J152" s="813"/>
      <c r="K152" s="813" t="s">
        <v>1651</v>
      </c>
      <c r="L152" s="813"/>
      <c r="V152" s="266"/>
      <c r="W152" s="266"/>
      <c r="X152" s="266"/>
      <c r="Y152" s="266"/>
      <c r="Z152" s="265"/>
      <c r="AA152" s="265"/>
      <c r="AB152" s="265"/>
      <c r="AC152" s="265"/>
    </row>
    <row r="153" spans="5:29" ht="15" customHeight="1" x14ac:dyDescent="0.2">
      <c r="E153" s="49" t="s">
        <v>1579</v>
      </c>
      <c r="F153" s="49"/>
      <c r="G153" s="49"/>
      <c r="H153" s="49"/>
      <c r="I153" s="49"/>
      <c r="J153" s="49"/>
      <c r="K153" s="49"/>
      <c r="L153" s="49"/>
      <c r="V153" s="266"/>
      <c r="W153" s="266"/>
      <c r="X153" s="266"/>
      <c r="Y153" s="266"/>
      <c r="Z153" s="265"/>
      <c r="AA153" s="265"/>
      <c r="AB153" s="265"/>
      <c r="AC153" s="265"/>
    </row>
    <row r="154" spans="5:29" ht="15" customHeight="1" x14ac:dyDescent="0.2">
      <c r="E154" s="169" t="s">
        <v>1580</v>
      </c>
      <c r="F154" s="49"/>
      <c r="G154" s="49"/>
      <c r="H154" s="49"/>
      <c r="I154" s="49"/>
      <c r="J154" s="49"/>
      <c r="K154" s="49"/>
      <c r="L154" s="49"/>
      <c r="V154" s="266"/>
      <c r="W154" s="266"/>
      <c r="X154" s="266"/>
      <c r="Y154" s="266"/>
      <c r="Z154" s="265"/>
      <c r="AA154" s="265"/>
      <c r="AB154" s="265"/>
      <c r="AC154" s="265"/>
    </row>
    <row r="155" spans="5:29" ht="15" customHeight="1" x14ac:dyDescent="0.2">
      <c r="E155" s="570" t="s">
        <v>2115</v>
      </c>
      <c r="F155" s="49"/>
      <c r="G155" s="49"/>
      <c r="H155" s="49"/>
      <c r="I155" s="49"/>
      <c r="J155" s="49"/>
      <c r="K155" s="49"/>
      <c r="L155" s="49"/>
      <c r="V155" s="266"/>
      <c r="W155" s="266"/>
      <c r="X155" s="266"/>
      <c r="Y155" s="266"/>
      <c r="Z155" s="265"/>
      <c r="AA155" s="265"/>
      <c r="AB155" s="265"/>
      <c r="AC155" s="265"/>
    </row>
    <row r="156" spans="5:29" ht="15" hidden="1" customHeight="1" x14ac:dyDescent="0.2">
      <c r="V156" s="266"/>
      <c r="W156" s="266"/>
      <c r="X156" s="266"/>
      <c r="Y156" s="266"/>
      <c r="Z156" s="265"/>
      <c r="AA156" s="265"/>
      <c r="AB156" s="265"/>
      <c r="AC156" s="265"/>
    </row>
    <row r="157" spans="5:29" ht="15" hidden="1" customHeight="1" x14ac:dyDescent="0.2">
      <c r="N157" s="33"/>
      <c r="V157" s="266"/>
      <c r="W157" s="266"/>
      <c r="X157" s="266"/>
      <c r="Y157" s="266"/>
      <c r="Z157" s="265"/>
      <c r="AA157" s="265"/>
      <c r="AB157" s="265"/>
      <c r="AC157" s="265"/>
    </row>
    <row r="158" spans="5:29" ht="15" hidden="1" customHeight="1" x14ac:dyDescent="0.2">
      <c r="V158" s="266"/>
      <c r="W158" s="266"/>
      <c r="X158" s="266"/>
      <c r="Y158" s="266"/>
      <c r="Z158" s="265"/>
      <c r="AA158" s="265"/>
      <c r="AB158" s="265"/>
      <c r="AC158" s="265"/>
    </row>
    <row r="159" spans="5:29" ht="15" hidden="1" customHeight="1" x14ac:dyDescent="0.2">
      <c r="V159" s="266"/>
      <c r="W159" s="266"/>
      <c r="X159" s="266"/>
      <c r="Y159" s="266"/>
      <c r="Z159" s="265"/>
      <c r="AA159" s="265"/>
      <c r="AB159" s="265"/>
      <c r="AC159" s="265"/>
    </row>
    <row r="160" spans="5:29" ht="15" hidden="1" customHeight="1" x14ac:dyDescent="0.2">
      <c r="V160" s="266"/>
      <c r="W160" s="266"/>
      <c r="X160" s="266"/>
      <c r="Y160" s="266"/>
      <c r="Z160" s="265"/>
      <c r="AA160" s="265"/>
      <c r="AB160" s="265"/>
      <c r="AC160" s="265"/>
    </row>
    <row r="161" spans="22:28" ht="15" hidden="1" customHeight="1" x14ac:dyDescent="0.2">
      <c r="V161" s="266"/>
      <c r="W161" s="266"/>
      <c r="X161" s="266"/>
      <c r="Z161" s="265"/>
      <c r="AA161" s="265"/>
      <c r="AB161" s="265"/>
    </row>
    <row r="162" spans="22:28" ht="15" hidden="1" customHeight="1" x14ac:dyDescent="0.2">
      <c r="V162" s="266"/>
      <c r="W162" s="266"/>
      <c r="X162" s="266"/>
      <c r="Z162" s="265"/>
      <c r="AA162" s="265"/>
      <c r="AB162" s="265"/>
    </row>
    <row r="163" spans="22:28" ht="15" hidden="1" customHeight="1" x14ac:dyDescent="0.2">
      <c r="V163" s="266"/>
      <c r="W163" s="266"/>
      <c r="Z163" s="265"/>
      <c r="AA163" s="265"/>
    </row>
    <row r="164" spans="22:28" ht="15" hidden="1" customHeight="1" x14ac:dyDescent="0.2">
      <c r="V164" s="266"/>
      <c r="W164" s="266"/>
      <c r="Z164" s="265"/>
      <c r="AA164" s="265"/>
    </row>
    <row r="165" spans="22:28" ht="15" hidden="1" customHeight="1" x14ac:dyDescent="0.2">
      <c r="V165" s="266"/>
      <c r="W165" s="266"/>
      <c r="Z165" s="265"/>
      <c r="AA165" s="265"/>
    </row>
    <row r="166" spans="22:28" ht="15" hidden="1" customHeight="1" x14ac:dyDescent="0.2">
      <c r="V166" s="266"/>
      <c r="W166" s="266"/>
      <c r="Z166" s="265"/>
      <c r="AA166" s="265"/>
    </row>
    <row r="167" spans="22:28" ht="15" hidden="1" customHeight="1" x14ac:dyDescent="0.2">
      <c r="V167" s="266"/>
      <c r="W167" s="266"/>
      <c r="Z167" s="265"/>
      <c r="AA167" s="265"/>
    </row>
    <row r="168" spans="22:28" ht="15" hidden="1" customHeight="1" x14ac:dyDescent="0.2">
      <c r="V168" s="266"/>
      <c r="W168" s="266"/>
      <c r="Z168" s="265"/>
      <c r="AA168" s="265"/>
    </row>
    <row r="169" spans="22:28" ht="15" hidden="1" customHeight="1" x14ac:dyDescent="0.2">
      <c r="V169" s="266"/>
      <c r="W169" s="266"/>
      <c r="Z169" s="265"/>
      <c r="AA169" s="265"/>
    </row>
    <row r="170" spans="22:28" ht="15" hidden="1" customHeight="1" x14ac:dyDescent="0.2">
      <c r="V170" s="266"/>
      <c r="W170" s="266"/>
      <c r="Z170" s="265"/>
      <c r="AA170" s="265"/>
    </row>
    <row r="171" spans="22:28" ht="15" hidden="1" customHeight="1" x14ac:dyDescent="0.2">
      <c r="V171" s="266"/>
      <c r="W171" s="266"/>
      <c r="Z171" s="265"/>
      <c r="AA171" s="265"/>
    </row>
    <row r="172" spans="22:28" ht="15" hidden="1" customHeight="1" x14ac:dyDescent="0.2"/>
    <row r="173" spans="22:28" ht="15" hidden="1" customHeight="1" x14ac:dyDescent="0.2"/>
    <row r="174" spans="22:28" ht="15" hidden="1" customHeight="1" x14ac:dyDescent="0.2"/>
    <row r="175" spans="22:28" ht="15" hidden="1" customHeight="1" x14ac:dyDescent="0.2"/>
  </sheetData>
  <sheetProtection algorithmName="SHA-512" hashValue="A/9kAYENs9nC6hY9YfWYGhpU1tKaMtzEODmf6q3tiZa4/eIcGKYhFqZUmVvY9R9ndqSdskoApBKdqVTPhw1GMA==" saltValue="S/TO3bqmI93tbm2C7QK4Mg==" spinCount="100000" sheet="1" objects="1" scenarios="1" selectLockedCells="1"/>
  <mergeCells count="119">
    <mergeCell ref="I47:J47"/>
    <mergeCell ref="G39:H39"/>
    <mergeCell ref="G40:H40"/>
    <mergeCell ref="G41:H41"/>
    <mergeCell ref="G42:H42"/>
    <mergeCell ref="G43:H43"/>
    <mergeCell ref="G44:H44"/>
    <mergeCell ref="H92:K92"/>
    <mergeCell ref="C81:G81"/>
    <mergeCell ref="F87:M87"/>
    <mergeCell ref="F88:M88"/>
    <mergeCell ref="D85:M85"/>
    <mergeCell ref="C80:G80"/>
    <mergeCell ref="C79:G79"/>
    <mergeCell ref="C78:G78"/>
    <mergeCell ref="C77:G77"/>
    <mergeCell ref="C76:G76"/>
    <mergeCell ref="G48:H48"/>
    <mergeCell ref="G49:H49"/>
    <mergeCell ref="G45:H45"/>
    <mergeCell ref="I48:J48"/>
    <mergeCell ref="I49:J49"/>
    <mergeCell ref="G46:H46"/>
    <mergeCell ref="G47:H47"/>
    <mergeCell ref="B74:B75"/>
    <mergeCell ref="C74:G75"/>
    <mergeCell ref="H74:M74"/>
    <mergeCell ref="E53:J53"/>
    <mergeCell ref="K53:P53"/>
    <mergeCell ref="B53:B54"/>
    <mergeCell ref="C53:D54"/>
    <mergeCell ref="C55:D57"/>
    <mergeCell ref="C58:D60"/>
    <mergeCell ref="C61:D63"/>
    <mergeCell ref="C64:D66"/>
    <mergeCell ref="B67:D67"/>
    <mergeCell ref="L93:L94"/>
    <mergeCell ref="M93:M94"/>
    <mergeCell ref="E95:G97"/>
    <mergeCell ref="E98:G100"/>
    <mergeCell ref="E101:G103"/>
    <mergeCell ref="E104:G106"/>
    <mergeCell ref="D93:D94"/>
    <mergeCell ref="E93:G94"/>
    <mergeCell ref="H93:H94"/>
    <mergeCell ref="I93:I94"/>
    <mergeCell ref="J93:J94"/>
    <mergeCell ref="K93:K94"/>
    <mergeCell ref="AJ130:AK130"/>
    <mergeCell ref="W136:Z136"/>
    <mergeCell ref="E151:F151"/>
    <mergeCell ref="G151:H151"/>
    <mergeCell ref="I151:J151"/>
    <mergeCell ref="E152:F152"/>
    <mergeCell ref="G152:H152"/>
    <mergeCell ref="I152:J152"/>
    <mergeCell ref="E149:F149"/>
    <mergeCell ref="G149:H149"/>
    <mergeCell ref="I149:J149"/>
    <mergeCell ref="E150:F150"/>
    <mergeCell ref="G150:H150"/>
    <mergeCell ref="I150:J150"/>
    <mergeCell ref="E147:F147"/>
    <mergeCell ref="G147:H147"/>
    <mergeCell ref="I147:J147"/>
    <mergeCell ref="E148:F148"/>
    <mergeCell ref="G148:H148"/>
    <mergeCell ref="I148:J148"/>
    <mergeCell ref="E145:F145"/>
    <mergeCell ref="E140:F140"/>
    <mergeCell ref="G140:H140"/>
    <mergeCell ref="I140:J140"/>
    <mergeCell ref="K141:L141"/>
    <mergeCell ref="K142:L142"/>
    <mergeCell ref="K143:L143"/>
    <mergeCell ref="K144:L144"/>
    <mergeCell ref="D107:G107"/>
    <mergeCell ref="E139:F139"/>
    <mergeCell ref="K151:L151"/>
    <mergeCell ref="K152:L152"/>
    <mergeCell ref="G139:L139"/>
    <mergeCell ref="K140:L140"/>
    <mergeCell ref="E143:F143"/>
    <mergeCell ref="G143:H143"/>
    <mergeCell ref="I143:J143"/>
    <mergeCell ref="E144:F144"/>
    <mergeCell ref="G144:H144"/>
    <mergeCell ref="I144:J144"/>
    <mergeCell ref="E141:F141"/>
    <mergeCell ref="G141:H141"/>
    <mergeCell ref="I141:J141"/>
    <mergeCell ref="E142:F142"/>
    <mergeCell ref="G142:H142"/>
    <mergeCell ref="I142:J142"/>
    <mergeCell ref="K149:L149"/>
    <mergeCell ref="K150:L150"/>
    <mergeCell ref="G145:H145"/>
    <mergeCell ref="I145:J145"/>
    <mergeCell ref="E146:F146"/>
    <mergeCell ref="G146:H146"/>
    <mergeCell ref="I146:J146"/>
    <mergeCell ref="K145:L145"/>
    <mergeCell ref="K146:L146"/>
    <mergeCell ref="K147:L147"/>
    <mergeCell ref="K148:L148"/>
    <mergeCell ref="I42:J42"/>
    <mergeCell ref="I43:J43"/>
    <mergeCell ref="I44:J44"/>
    <mergeCell ref="I45:J45"/>
    <mergeCell ref="I46:J46"/>
    <mergeCell ref="E8:M8"/>
    <mergeCell ref="E9:M9"/>
    <mergeCell ref="C6:N6"/>
    <mergeCell ref="I38:J38"/>
    <mergeCell ref="I39:J39"/>
    <mergeCell ref="I40:J40"/>
    <mergeCell ref="I41:J41"/>
    <mergeCell ref="I13:J13"/>
    <mergeCell ref="G38:H38"/>
  </mergeCells>
  <dataValidations disablePrompts="1" count="6">
    <dataValidation type="list" allowBlank="1" showInputMessage="1" showErrorMessage="1" sqref="C76:G76">
      <formula1>$W$70:$W$72</formula1>
    </dataValidation>
    <dataValidation type="list" allowBlank="1" showInputMessage="1" showErrorMessage="1" sqref="C77:G77">
      <formula1>$W$74:$W$76</formula1>
    </dataValidation>
    <dataValidation type="list" allowBlank="1" showInputMessage="1" showErrorMessage="1" sqref="C78:G78">
      <formula1>$W$78:$W$80</formula1>
    </dataValidation>
    <dataValidation type="list" allowBlank="1" showInputMessage="1" showErrorMessage="1" sqref="C79:G79">
      <formula1>$W$82:$W$83</formula1>
    </dataValidation>
    <dataValidation type="list" allowBlank="1" showInputMessage="1" showErrorMessage="1" sqref="C80:G80">
      <formula1>$W$85:$W$86</formula1>
    </dataValidation>
    <dataValidation type="list" allowBlank="1" showInputMessage="1" showErrorMessage="1" sqref="C81:G81">
      <formula1>$W$88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78" fitToHeight="2" orientation="portrait" r:id="rId1"/>
  <rowBreaks count="1" manualBreakCount="1">
    <brk id="136" min="2" max="1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1">
    <pageSetUpPr fitToPage="1"/>
  </sheetPr>
  <dimension ref="A1:P55"/>
  <sheetViews>
    <sheetView showGridLines="0" showRowColHeaders="0" zoomScaleNormal="100" zoomScaleSheetLayoutView="100" workbookViewId="0">
      <selection activeCell="J18" sqref="J18"/>
    </sheetView>
  </sheetViews>
  <sheetFormatPr defaultRowHeight="15" customHeight="1" x14ac:dyDescent="0.2"/>
  <cols>
    <col min="1" max="10" width="9.140625" style="266" customWidth="1"/>
    <col min="11" max="16384" width="9.140625" style="266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2261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8" spans="1:16" ht="15" customHeight="1" x14ac:dyDescent="0.2">
      <c r="D8" s="227" t="s">
        <v>893</v>
      </c>
      <c r="E8" s="804" t="str">
        <f>ConilonProd!E8</f>
        <v>João</v>
      </c>
      <c r="F8" s="805"/>
      <c r="G8" s="805"/>
      <c r="H8" s="805"/>
      <c r="I8" s="805"/>
      <c r="J8" s="805"/>
      <c r="K8" s="805"/>
      <c r="L8" s="805"/>
      <c r="M8" s="805"/>
    </row>
    <row r="10" spans="1:16" ht="15" customHeight="1" x14ac:dyDescent="0.2">
      <c r="I10" s="27"/>
      <c r="J10" s="27"/>
      <c r="K10" s="27"/>
      <c r="L10" s="27"/>
      <c r="O10" s="33"/>
    </row>
    <row r="11" spans="1:16" ht="15" customHeight="1" x14ac:dyDescent="0.2">
      <c r="F11" s="219" t="s">
        <v>580</v>
      </c>
      <c r="G11" s="169"/>
      <c r="H11" s="169"/>
      <c r="I11" s="857">
        <f>ConilonProd!G13/ConilonProd!K11</f>
        <v>1.0049999999999999</v>
      </c>
      <c r="J11" s="857"/>
      <c r="K11" s="523" t="s">
        <v>575</v>
      </c>
      <c r="L11" s="27"/>
      <c r="M11" s="27"/>
      <c r="N11" s="27"/>
    </row>
    <row r="12" spans="1:16" ht="15" customHeight="1" x14ac:dyDescent="0.2">
      <c r="F12" s="219" t="s">
        <v>581</v>
      </c>
      <c r="G12" s="169"/>
      <c r="H12" s="169"/>
      <c r="I12" s="858">
        <f>ConilonProd!G13</f>
        <v>3350</v>
      </c>
      <c r="J12" s="858"/>
      <c r="K12" s="523" t="s">
        <v>1972</v>
      </c>
      <c r="L12" s="27"/>
      <c r="M12" s="27"/>
      <c r="N12" s="27"/>
      <c r="P12" s="209"/>
    </row>
    <row r="13" spans="1:16" ht="15" customHeight="1" x14ac:dyDescent="0.2">
      <c r="F13" s="219" t="s">
        <v>582</v>
      </c>
      <c r="G13" s="169"/>
      <c r="H13" s="221"/>
      <c r="I13" s="857">
        <f>ConilonProd!G12*ConilonCusteio!I11</f>
        <v>50.249999999999993</v>
      </c>
      <c r="J13" s="857"/>
      <c r="K13" s="523" t="s">
        <v>583</v>
      </c>
      <c r="L13" s="27"/>
      <c r="M13" s="27"/>
      <c r="N13" s="27"/>
    </row>
    <row r="14" spans="1:16" ht="15" customHeight="1" x14ac:dyDescent="0.2">
      <c r="E14" s="305"/>
      <c r="F14" s="303"/>
      <c r="G14" s="208"/>
      <c r="I14" s="27"/>
      <c r="J14" s="27"/>
      <c r="K14" s="27"/>
      <c r="L14" s="27"/>
      <c r="M14" s="27"/>
      <c r="N14" s="27"/>
    </row>
    <row r="15" spans="1:16" ht="15" customHeight="1" x14ac:dyDescent="0.2">
      <c r="E15" s="118" t="s">
        <v>1971</v>
      </c>
      <c r="F15" s="303"/>
      <c r="G15" s="208"/>
      <c r="J15" s="27"/>
      <c r="K15" s="27"/>
      <c r="L15" s="27"/>
      <c r="M15" s="27"/>
      <c r="N15" s="27"/>
    </row>
    <row r="16" spans="1:16" ht="15" customHeight="1" x14ac:dyDescent="0.2">
      <c r="D16" s="214"/>
      <c r="E16" s="215"/>
      <c r="F16" s="215"/>
      <c r="G16" s="27"/>
      <c r="H16" s="27"/>
      <c r="I16" s="27"/>
      <c r="J16" s="27"/>
      <c r="K16" s="27"/>
      <c r="L16" s="27"/>
    </row>
    <row r="17" spans="4:14" ht="15" customHeight="1" x14ac:dyDescent="0.2">
      <c r="D17" s="216" t="s">
        <v>584</v>
      </c>
      <c r="E17" s="216"/>
      <c r="F17" s="255" t="s">
        <v>1121</v>
      </c>
      <c r="G17" s="255"/>
      <c r="H17" s="255" t="s">
        <v>585</v>
      </c>
      <c r="I17" s="255"/>
      <c r="J17" s="255" t="s">
        <v>586</v>
      </c>
      <c r="K17" s="255"/>
      <c r="L17" s="754" t="s">
        <v>587</v>
      </c>
      <c r="M17" s="754"/>
    </row>
    <row r="18" spans="4:14" ht="15" customHeight="1" x14ac:dyDescent="0.2">
      <c r="D18" s="266" t="s">
        <v>588</v>
      </c>
      <c r="F18" s="265" t="s">
        <v>589</v>
      </c>
      <c r="G18" s="265"/>
      <c r="H18" s="218">
        <f>(((ConilonProd!I37*ConilonProd!G13)/1000)/50)*3</f>
        <v>0</v>
      </c>
      <c r="I18" s="263"/>
      <c r="J18" s="17">
        <v>70</v>
      </c>
      <c r="K18" s="265"/>
      <c r="L18" s="854">
        <f t="shared" ref="L18:L19" si="0">H18*J18</f>
        <v>0</v>
      </c>
      <c r="M18" s="854"/>
      <c r="N18" s="265"/>
    </row>
    <row r="19" spans="4:14" ht="15" customHeight="1" x14ac:dyDescent="0.2">
      <c r="D19" s="266" t="s">
        <v>591</v>
      </c>
      <c r="F19" s="265" t="s">
        <v>589</v>
      </c>
      <c r="G19" s="265"/>
      <c r="H19" s="218">
        <f>(ConilonProd!K44)</f>
        <v>47.13333333333334</v>
      </c>
      <c r="I19" s="263"/>
      <c r="J19" s="18">
        <v>6</v>
      </c>
      <c r="K19" s="265"/>
      <c r="L19" s="854">
        <f t="shared" si="0"/>
        <v>282.80000000000007</v>
      </c>
      <c r="M19" s="854"/>
    </row>
    <row r="20" spans="4:14" ht="15" customHeight="1" x14ac:dyDescent="0.2">
      <c r="D20" s="266" t="s">
        <v>716</v>
      </c>
      <c r="F20" s="265" t="s">
        <v>631</v>
      </c>
      <c r="G20" s="265"/>
      <c r="H20" s="10">
        <v>0</v>
      </c>
      <c r="I20" s="263"/>
      <c r="J20" s="18">
        <v>10</v>
      </c>
      <c r="K20" s="265"/>
      <c r="L20" s="854">
        <f t="shared" ref="L20:L23" si="1">H20*J20</f>
        <v>0</v>
      </c>
      <c r="M20" s="854"/>
    </row>
    <row r="21" spans="4:14" ht="15" customHeight="1" x14ac:dyDescent="0.2">
      <c r="D21" s="266" t="s">
        <v>592</v>
      </c>
      <c r="F21" s="265" t="s">
        <v>631</v>
      </c>
      <c r="G21" s="265"/>
      <c r="H21" s="237">
        <v>10</v>
      </c>
      <c r="I21" s="263"/>
      <c r="J21" s="18">
        <v>12</v>
      </c>
      <c r="K21" s="265"/>
      <c r="L21" s="854">
        <f t="shared" si="1"/>
        <v>120</v>
      </c>
      <c r="M21" s="854"/>
    </row>
    <row r="22" spans="4:14" ht="15" customHeight="1" x14ac:dyDescent="0.2">
      <c r="D22" s="266" t="s">
        <v>593</v>
      </c>
      <c r="F22" s="265" t="s">
        <v>631</v>
      </c>
      <c r="G22" s="265"/>
      <c r="H22" s="237">
        <v>0</v>
      </c>
      <c r="I22" s="263"/>
      <c r="J22" s="18">
        <v>30</v>
      </c>
      <c r="K22" s="265"/>
      <c r="L22" s="854">
        <f t="shared" si="1"/>
        <v>0</v>
      </c>
      <c r="M22" s="854"/>
    </row>
    <row r="23" spans="4:14" ht="15" customHeight="1" x14ac:dyDescent="0.2">
      <c r="D23" s="266" t="s">
        <v>594</v>
      </c>
      <c r="F23" s="265" t="s">
        <v>631</v>
      </c>
      <c r="G23" s="265"/>
      <c r="H23" s="237">
        <v>0</v>
      </c>
      <c r="I23" s="263"/>
      <c r="J23" s="19">
        <v>30</v>
      </c>
      <c r="K23" s="265"/>
      <c r="L23" s="854">
        <f t="shared" si="1"/>
        <v>0</v>
      </c>
      <c r="M23" s="854"/>
    </row>
    <row r="24" spans="4:14" ht="15" customHeight="1" x14ac:dyDescent="0.2">
      <c r="D24" s="216" t="s">
        <v>587</v>
      </c>
      <c r="E24" s="426"/>
      <c r="F24" s="427"/>
      <c r="G24" s="427"/>
      <c r="H24" s="427"/>
      <c r="I24" s="427"/>
      <c r="J24" s="427"/>
      <c r="K24" s="427"/>
      <c r="L24" s="855">
        <f>L18+L19+L20+L21+L22+L23</f>
        <v>402.80000000000007</v>
      </c>
      <c r="M24" s="855"/>
    </row>
    <row r="25" spans="4:14" ht="15" customHeight="1" x14ac:dyDescent="0.2">
      <c r="F25" s="265"/>
      <c r="G25" s="265"/>
      <c r="H25" s="265"/>
      <c r="I25" s="265"/>
      <c r="J25" s="265"/>
      <c r="K25" s="265"/>
      <c r="L25" s="265"/>
    </row>
    <row r="26" spans="4:14" ht="15" customHeight="1" x14ac:dyDescent="0.2">
      <c r="D26" s="216" t="s">
        <v>595</v>
      </c>
      <c r="E26" s="216"/>
      <c r="F26" s="255" t="s">
        <v>1121</v>
      </c>
      <c r="G26" s="255"/>
      <c r="H26" s="255" t="s">
        <v>585</v>
      </c>
      <c r="I26" s="255"/>
      <c r="J26" s="255" t="s">
        <v>586</v>
      </c>
      <c r="K26" s="255"/>
      <c r="L26" s="754" t="s">
        <v>587</v>
      </c>
      <c r="M26" s="754"/>
    </row>
    <row r="27" spans="4:14" ht="15" customHeight="1" x14ac:dyDescent="0.2">
      <c r="D27" s="266" t="s">
        <v>625</v>
      </c>
      <c r="F27" s="265" t="s">
        <v>610</v>
      </c>
      <c r="G27" s="265"/>
      <c r="H27" s="263">
        <v>12</v>
      </c>
      <c r="I27" s="265"/>
      <c r="J27" s="17">
        <v>50</v>
      </c>
      <c r="K27" s="265"/>
      <c r="L27" s="856">
        <f>H27*J27</f>
        <v>600</v>
      </c>
      <c r="M27" s="856"/>
    </row>
    <row r="28" spans="4:14" ht="15" customHeight="1" x14ac:dyDescent="0.2">
      <c r="D28" s="266" t="s">
        <v>626</v>
      </c>
      <c r="F28" s="265" t="s">
        <v>610</v>
      </c>
      <c r="G28" s="265"/>
      <c r="H28" s="263">
        <v>20</v>
      </c>
      <c r="I28" s="265"/>
      <c r="J28" s="18">
        <v>50</v>
      </c>
      <c r="K28" s="265"/>
      <c r="L28" s="854">
        <f>H28*J28</f>
        <v>1000</v>
      </c>
      <c r="M28" s="854"/>
    </row>
    <row r="29" spans="4:14" ht="15" customHeight="1" x14ac:dyDescent="0.2">
      <c r="D29" s="266" t="s">
        <v>596</v>
      </c>
      <c r="F29" s="265" t="s">
        <v>610</v>
      </c>
      <c r="G29" s="265"/>
      <c r="H29" s="263">
        <v>18</v>
      </c>
      <c r="I29" s="265"/>
      <c r="J29" s="20">
        <v>50</v>
      </c>
      <c r="K29" s="265"/>
      <c r="L29" s="854">
        <f t="shared" ref="L29:L34" si="2">H29*J29</f>
        <v>900</v>
      </c>
      <c r="M29" s="854"/>
    </row>
    <row r="30" spans="4:14" ht="15" customHeight="1" x14ac:dyDescent="0.2">
      <c r="D30" s="266" t="s">
        <v>611</v>
      </c>
      <c r="F30" s="265" t="s">
        <v>610</v>
      </c>
      <c r="G30" s="265"/>
      <c r="H30" s="263">
        <v>0</v>
      </c>
      <c r="I30" s="265"/>
      <c r="J30" s="20">
        <v>50</v>
      </c>
      <c r="K30" s="265"/>
      <c r="L30" s="854">
        <f t="shared" si="2"/>
        <v>0</v>
      </c>
      <c r="M30" s="854"/>
    </row>
    <row r="31" spans="4:14" ht="15" customHeight="1" x14ac:dyDescent="0.2">
      <c r="D31" s="266" t="s">
        <v>612</v>
      </c>
      <c r="F31" s="265" t="s">
        <v>610</v>
      </c>
      <c r="G31" s="265"/>
      <c r="H31" s="263">
        <v>9</v>
      </c>
      <c r="I31" s="265"/>
      <c r="J31" s="20">
        <v>100</v>
      </c>
      <c r="K31" s="265"/>
      <c r="L31" s="854">
        <f t="shared" si="2"/>
        <v>900</v>
      </c>
      <c r="M31" s="854"/>
    </row>
    <row r="32" spans="4:14" ht="15" customHeight="1" x14ac:dyDescent="0.2">
      <c r="D32" s="27" t="s">
        <v>613</v>
      </c>
      <c r="E32" s="27"/>
      <c r="F32" s="272" t="s">
        <v>614</v>
      </c>
      <c r="G32" s="263"/>
      <c r="H32" s="237">
        <f>I13*4</f>
        <v>200.99999999999997</v>
      </c>
      <c r="I32" s="263"/>
      <c r="J32" s="20">
        <v>10</v>
      </c>
      <c r="K32" s="263"/>
      <c r="L32" s="854">
        <f t="shared" si="2"/>
        <v>2009.9999999999998</v>
      </c>
      <c r="M32" s="854"/>
    </row>
    <row r="33" spans="4:13" ht="15" customHeight="1" x14ac:dyDescent="0.2">
      <c r="D33" s="27" t="s">
        <v>627</v>
      </c>
      <c r="E33" s="27"/>
      <c r="F33" s="272" t="s">
        <v>616</v>
      </c>
      <c r="G33" s="263"/>
      <c r="H33" s="237">
        <f>H32</f>
        <v>200.99999999999997</v>
      </c>
      <c r="I33" s="263"/>
      <c r="J33" s="20">
        <v>2</v>
      </c>
      <c r="K33" s="263"/>
      <c r="L33" s="854">
        <f t="shared" si="2"/>
        <v>401.99999999999994</v>
      </c>
      <c r="M33" s="854"/>
    </row>
    <row r="34" spans="4:13" ht="15" customHeight="1" x14ac:dyDescent="0.2">
      <c r="D34" s="27" t="s">
        <v>617</v>
      </c>
      <c r="E34" s="27"/>
      <c r="F34" s="272" t="s">
        <v>618</v>
      </c>
      <c r="G34" s="263"/>
      <c r="H34" s="237">
        <f>I13</f>
        <v>50.249999999999993</v>
      </c>
      <c r="I34" s="263"/>
      <c r="J34" s="20">
        <v>15</v>
      </c>
      <c r="K34" s="263"/>
      <c r="L34" s="854">
        <f t="shared" si="2"/>
        <v>753.74999999999989</v>
      </c>
      <c r="M34" s="854"/>
    </row>
    <row r="35" spans="4:13" ht="15" customHeight="1" x14ac:dyDescent="0.2">
      <c r="D35" s="216" t="s">
        <v>587</v>
      </c>
      <c r="E35" s="426"/>
      <c r="F35" s="427"/>
      <c r="G35" s="427"/>
      <c r="H35" s="427"/>
      <c r="I35" s="427"/>
      <c r="J35" s="427"/>
      <c r="K35" s="427"/>
      <c r="L35" s="855">
        <f>L27+L28+L29+L30+L31+L32+L33+L34</f>
        <v>6565.75</v>
      </c>
      <c r="M35" s="855"/>
    </row>
    <row r="36" spans="4:13" ht="15" customHeight="1" x14ac:dyDescent="0.2">
      <c r="H36" s="265"/>
      <c r="J36" s="265"/>
      <c r="L36" s="265"/>
    </row>
    <row r="37" spans="4:13" ht="15" customHeight="1" x14ac:dyDescent="0.2">
      <c r="F37" s="266" t="s">
        <v>619</v>
      </c>
      <c r="I37" s="225" t="s">
        <v>620</v>
      </c>
      <c r="J37" s="851">
        <f>L24+L35</f>
        <v>6968.55</v>
      </c>
      <c r="K37" s="851"/>
    </row>
    <row r="38" spans="4:13" ht="15" customHeight="1" x14ac:dyDescent="0.2">
      <c r="I38" s="225"/>
    </row>
    <row r="39" spans="4:13" ht="15" customHeight="1" x14ac:dyDescent="0.2">
      <c r="F39" s="266" t="s">
        <v>621</v>
      </c>
      <c r="I39" s="225" t="s">
        <v>620</v>
      </c>
      <c r="J39" s="851">
        <f>(L24+L35)/I11</f>
        <v>6933.880597014926</v>
      </c>
      <c r="K39" s="851"/>
    </row>
    <row r="40" spans="4:13" ht="15" customHeight="1" x14ac:dyDescent="0.2">
      <c r="I40" s="225"/>
      <c r="J40" s="212"/>
    </row>
    <row r="41" spans="4:13" ht="15" customHeight="1" x14ac:dyDescent="0.2">
      <c r="F41" s="266" t="s">
        <v>796</v>
      </c>
      <c r="I41" s="225" t="s">
        <v>620</v>
      </c>
      <c r="J41" s="851">
        <f>J37/I13</f>
        <v>138.67761194029853</v>
      </c>
      <c r="K41" s="851"/>
    </row>
    <row r="42" spans="4:13" ht="15" customHeight="1" x14ac:dyDescent="0.2">
      <c r="I42" s="225"/>
      <c r="J42" s="212"/>
    </row>
    <row r="43" spans="4:13" ht="15" customHeight="1" x14ac:dyDescent="0.2">
      <c r="F43" s="266" t="s">
        <v>622</v>
      </c>
      <c r="I43" s="225" t="s">
        <v>620</v>
      </c>
      <c r="J43" s="852">
        <v>260</v>
      </c>
      <c r="K43" s="852"/>
    </row>
    <row r="44" spans="4:13" ht="15" customHeight="1" x14ac:dyDescent="0.2">
      <c r="I44" s="225"/>
    </row>
    <row r="45" spans="4:13" ht="15" customHeight="1" x14ac:dyDescent="0.2">
      <c r="F45" s="169" t="s">
        <v>623</v>
      </c>
      <c r="I45" s="225" t="s">
        <v>620</v>
      </c>
      <c r="J45" s="853">
        <f>(I13*J43)-J37</f>
        <v>6096.449999999998</v>
      </c>
      <c r="K45" s="853"/>
    </row>
    <row r="46" spans="4:13" ht="15" customHeight="1" x14ac:dyDescent="0.2">
      <c r="I46" s="225"/>
      <c r="J46" s="213"/>
    </row>
    <row r="47" spans="4:13" ht="15" customHeight="1" x14ac:dyDescent="0.2">
      <c r="F47" s="169" t="s">
        <v>624</v>
      </c>
      <c r="I47" s="225" t="s">
        <v>620</v>
      </c>
      <c r="J47" s="853">
        <f>J45/I11</f>
        <v>6066.1194029850731</v>
      </c>
      <c r="K47" s="853"/>
    </row>
    <row r="55" spans="2:2" ht="15" customHeight="1" x14ac:dyDescent="0.2">
      <c r="B55" s="207"/>
    </row>
  </sheetData>
  <sheetProtection algorithmName="SHA-512" hashValue="wcWAO5VdgH/t8kWbCL3g5mqWccVK2u49z0nvhUw8ZRCuDV/dsDEwJlPqcIZjZwhowp/hBZxUUj/TkTpl73Q5yg==" saltValue="Kd0GqtT4kAoCk2HpCbYcPw==" spinCount="100000" sheet="1" objects="1" scenarios="1" selectLockedCells="1"/>
  <mergeCells count="29">
    <mergeCell ref="C6:N6"/>
    <mergeCell ref="E8:M8"/>
    <mergeCell ref="I11:J11"/>
    <mergeCell ref="I12:J12"/>
    <mergeCell ref="I13:J13"/>
    <mergeCell ref="L17:M17"/>
    <mergeCell ref="L18:M18"/>
    <mergeCell ref="L19:M19"/>
    <mergeCell ref="L20:M20"/>
    <mergeCell ref="L21:M21"/>
    <mergeCell ref="L22:M22"/>
    <mergeCell ref="L23:M23"/>
    <mergeCell ref="L24:M24"/>
    <mergeCell ref="L26:M26"/>
    <mergeCell ref="L27:M27"/>
    <mergeCell ref="L28:M28"/>
    <mergeCell ref="L29:M29"/>
    <mergeCell ref="L30:M30"/>
    <mergeCell ref="L31:M31"/>
    <mergeCell ref="L32:M32"/>
    <mergeCell ref="J41:K41"/>
    <mergeCell ref="J43:K43"/>
    <mergeCell ref="J45:K45"/>
    <mergeCell ref="J47:K47"/>
    <mergeCell ref="L33:M33"/>
    <mergeCell ref="L34:M34"/>
    <mergeCell ref="L35:M35"/>
    <mergeCell ref="J37:K37"/>
    <mergeCell ref="J39:K39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9" orientation="portrait" horizontalDpi="300" verticalDpi="300" r:id="rId1"/>
  <headerFooter alignWithMargins="0"/>
  <colBreaks count="1" manualBreakCount="1">
    <brk id="16" max="1048575" man="1"/>
  </col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0">
    <pageSetUpPr fitToPage="1"/>
  </sheetPr>
  <dimension ref="A1:Q58"/>
  <sheetViews>
    <sheetView showGridLines="0" showRowColHeaders="0" zoomScaleNormal="100" zoomScaleSheetLayoutView="100" workbookViewId="0"/>
  </sheetViews>
  <sheetFormatPr defaultColWidth="0" defaultRowHeight="15" customHeight="1" zeroHeight="1" x14ac:dyDescent="0.2"/>
  <cols>
    <col min="1" max="1" width="5.7109375" style="266" customWidth="1"/>
    <col min="2" max="2" width="9.140625" style="266" customWidth="1"/>
    <col min="3" max="3" width="13.28515625" style="266" customWidth="1"/>
    <col min="4" max="13" width="9.140625" style="266" customWidth="1"/>
    <col min="14" max="17" width="0" style="266" hidden="1" customWidth="1"/>
    <col min="18" max="16384" width="9.140625" style="266" hidden="1"/>
  </cols>
  <sheetData>
    <row r="1" spans="2:17" ht="15" customHeight="1" x14ac:dyDescent="0.2"/>
    <row r="2" spans="2:17" ht="15" customHeight="1" x14ac:dyDescent="0.2"/>
    <row r="3" spans="2:17" ht="15" customHeight="1" x14ac:dyDescent="0.2"/>
    <row r="4" spans="2:17" ht="15" customHeight="1" x14ac:dyDescent="0.2"/>
    <row r="5" spans="2:17" ht="15" customHeight="1" x14ac:dyDescent="0.2"/>
    <row r="6" spans="2:17" ht="15" customHeight="1" x14ac:dyDescent="0.2"/>
    <row r="7" spans="2:17" ht="15" customHeight="1" x14ac:dyDescent="0.2"/>
    <row r="8" spans="2:17" ht="15" customHeight="1" x14ac:dyDescent="0.25">
      <c r="B8" s="519" t="s">
        <v>1466</v>
      </c>
    </row>
    <row r="9" spans="2:17" ht="15" customHeight="1" x14ac:dyDescent="0.2"/>
    <row r="10" spans="2:17" ht="15" customHeight="1" x14ac:dyDescent="0.25">
      <c r="B10" s="520" t="s">
        <v>1434</v>
      </c>
      <c r="C10" s="46"/>
      <c r="D10" s="521" t="s">
        <v>1435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2:17" ht="15" customHeight="1" x14ac:dyDescent="0.25">
      <c r="B11" s="46"/>
      <c r="C11" s="46"/>
      <c r="D11" s="521" t="s">
        <v>1436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2:17" ht="15" customHeight="1" x14ac:dyDescent="0.25">
      <c r="B12" s="46"/>
      <c r="C12" s="46"/>
      <c r="D12" s="521" t="s">
        <v>1437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2:17" ht="15" customHeight="1" x14ac:dyDescent="0.2">
      <c r="B13" s="46"/>
      <c r="C13" s="46"/>
      <c r="D13" s="521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2:17" ht="15" customHeight="1" x14ac:dyDescent="0.25">
      <c r="B14" s="46" t="s">
        <v>1467</v>
      </c>
      <c r="C14" s="46"/>
      <c r="D14" s="521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2:17" ht="15" customHeight="1" x14ac:dyDescent="0.2">
      <c r="B15" s="46"/>
      <c r="C15" s="46"/>
      <c r="D15" s="521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2:17" ht="15" customHeight="1" x14ac:dyDescent="0.25">
      <c r="B16" s="520"/>
      <c r="C16" s="46"/>
      <c r="D16" s="521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2:17" ht="15" customHeight="1" x14ac:dyDescent="0.2">
      <c r="B17" s="46"/>
      <c r="C17" s="46"/>
      <c r="D17" s="521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2:17" ht="15" customHeight="1" x14ac:dyDescent="0.2">
      <c r="B18" s="46"/>
      <c r="C18" s="46"/>
      <c r="D18" s="521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2:17" ht="15" customHeight="1" x14ac:dyDescent="0.2">
      <c r="B19" s="46"/>
      <c r="C19" s="46"/>
      <c r="D19" s="521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</row>
    <row r="20" spans="2:17" ht="15" customHeight="1" x14ac:dyDescent="0.2">
      <c r="B20" s="46"/>
      <c r="C20" s="46"/>
      <c r="D20" s="521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2:17" ht="15" customHeight="1" x14ac:dyDescent="0.2">
      <c r="B21" s="46"/>
      <c r="C21" s="46"/>
      <c r="D21" s="521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</row>
    <row r="22" spans="2:17" ht="15" customHeight="1" x14ac:dyDescent="0.2">
      <c r="B22" s="46"/>
      <c r="C22" s="46"/>
      <c r="D22" s="521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2:17" ht="15" customHeight="1" x14ac:dyDescent="0.2">
      <c r="B23" s="46"/>
      <c r="C23" s="46"/>
      <c r="D23" s="521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2:17" ht="15" customHeight="1" x14ac:dyDescent="0.2">
      <c r="B24" s="46"/>
      <c r="C24" s="46"/>
      <c r="D24" s="521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2:17" ht="15" customHeight="1" x14ac:dyDescent="0.2">
      <c r="B25" s="46"/>
      <c r="C25" s="46"/>
      <c r="D25" s="521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2:17" ht="15" customHeight="1" x14ac:dyDescent="0.2">
      <c r="B26" s="46"/>
      <c r="C26" s="46"/>
      <c r="D26" s="521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2:17" ht="15" customHeight="1" x14ac:dyDescent="0.2">
      <c r="B27" s="46"/>
      <c r="C27" s="46"/>
      <c r="D27" s="521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2:17" ht="15" customHeight="1" x14ac:dyDescent="0.2">
      <c r="B28" s="46"/>
      <c r="C28" s="46"/>
      <c r="D28" s="521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2:17" ht="15" customHeight="1" x14ac:dyDescent="0.2">
      <c r="B29" s="46"/>
      <c r="C29" s="46"/>
      <c r="D29" s="521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2:17" ht="15" customHeight="1" x14ac:dyDescent="0.2">
      <c r="B30" s="46"/>
      <c r="C30" s="46"/>
      <c r="D30" s="521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2:17" ht="15" customHeight="1" x14ac:dyDescent="0.2">
      <c r="B31" s="46"/>
      <c r="C31" s="46"/>
      <c r="D31" s="521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2:17" ht="15" customHeight="1" x14ac:dyDescent="0.2">
      <c r="B32" s="46"/>
      <c r="C32" s="46"/>
      <c r="D32" s="521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2:17" ht="15" customHeight="1" x14ac:dyDescent="0.2">
      <c r="B33" s="46"/>
      <c r="C33" s="46"/>
      <c r="D33" s="521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2:17" ht="15" customHeight="1" x14ac:dyDescent="0.2">
      <c r="B34" s="46"/>
      <c r="C34" s="46"/>
      <c r="D34" s="521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2:17" ht="15" customHeight="1" x14ac:dyDescent="0.2">
      <c r="B35" s="46"/>
      <c r="C35" s="46"/>
      <c r="D35" s="521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2:17" ht="15" customHeight="1" x14ac:dyDescent="0.2">
      <c r="B36" s="46"/>
      <c r="C36" s="46"/>
      <c r="D36" s="521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2:17" ht="15" customHeight="1" x14ac:dyDescent="0.2">
      <c r="B37" s="46"/>
      <c r="C37" s="46"/>
      <c r="D37" s="521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2:17" ht="15" customHeight="1" x14ac:dyDescent="0.25">
      <c r="B38" s="520"/>
      <c r="C38" s="46"/>
      <c r="D38" s="521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2:17" ht="15" customHeight="1" x14ac:dyDescent="0.2">
      <c r="B39" s="46"/>
      <c r="C39" s="46"/>
      <c r="D39" s="521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2:17" ht="15" customHeight="1" x14ac:dyDescent="0.2">
      <c r="B40" s="46"/>
      <c r="C40" s="46"/>
      <c r="D40" s="521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2:17" ht="15" customHeight="1" x14ac:dyDescent="0.2">
      <c r="B41" s="46"/>
      <c r="C41" s="46"/>
      <c r="D41" s="521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2:17" ht="15" customHeight="1" x14ac:dyDescent="0.2">
      <c r="B42" s="46"/>
      <c r="C42" s="46"/>
      <c r="D42" s="521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2:17" ht="15" customHeight="1" x14ac:dyDescent="0.2">
      <c r="B43" s="46"/>
      <c r="C43" s="46"/>
      <c r="D43" s="521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2:17" ht="15" customHeight="1" x14ac:dyDescent="0.2">
      <c r="B44" s="46"/>
      <c r="C44" s="46"/>
      <c r="D44" s="521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2:17" ht="15" customHeight="1" x14ac:dyDescent="0.2">
      <c r="B45" s="46"/>
      <c r="C45" s="46"/>
      <c r="D45" s="521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2:17" ht="15" customHeight="1" x14ac:dyDescent="0.2">
      <c r="B46" s="46"/>
      <c r="C46" s="46"/>
      <c r="D46" s="521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2:17" ht="15" customHeight="1" x14ac:dyDescent="0.2">
      <c r="B47" s="46"/>
      <c r="C47" s="46"/>
      <c r="D47" s="521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2:17" ht="15" customHeight="1" x14ac:dyDescent="0.2">
      <c r="B48" s="46"/>
      <c r="C48" s="46"/>
      <c r="D48" s="521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2:17" ht="15" customHeight="1" x14ac:dyDescent="0.2">
      <c r="B49" s="46"/>
      <c r="C49" s="46"/>
      <c r="D49" s="521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2:17" ht="15" customHeight="1" x14ac:dyDescent="0.2">
      <c r="B50" s="46"/>
      <c r="C50" s="46"/>
      <c r="D50" s="521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2:17" ht="15" customHeight="1" x14ac:dyDescent="0.2">
      <c r="B51" s="46"/>
      <c r="C51" s="46"/>
      <c r="D51" s="522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2:17" ht="15" customHeight="1" x14ac:dyDescent="0.2">
      <c r="B52" s="46"/>
      <c r="C52" s="46"/>
      <c r="D52" s="521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2:17" ht="15" customHeight="1" x14ac:dyDescent="0.2">
      <c r="B53" s="46"/>
      <c r="C53" s="46"/>
      <c r="D53" s="521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2:17" ht="15" customHeight="1" x14ac:dyDescent="0.2"/>
    <row r="55" spans="2:17" ht="15" customHeight="1" x14ac:dyDescent="0.2"/>
    <row r="56" spans="2:17" ht="15" customHeight="1" x14ac:dyDescent="0.2"/>
    <row r="57" spans="2:17" ht="15" customHeight="1" x14ac:dyDescent="0.2"/>
    <row r="58" spans="2:17" ht="15" customHeight="1" x14ac:dyDescent="0.2"/>
  </sheetData>
  <sheetProtection algorithmName="SHA-512" hashValue="kEUOaJy84BIORaMucQo3/XSN0loQlU7bRX9PsgJ6jkQiqt4dNPa/MOy2bX2/6EhG0BOt7MCNUTzUvU+Ehn78kQ==" saltValue="GykhY1Dik6IWTTqph/HboQ==" spinCount="100000" sheet="1" objects="1" scenarios="1"/>
  <pageMargins left="0.78740157480314965" right="0.78740157480314965" top="0.78740157480314965" bottom="0.78740157480314965" header="0.31496062992125984" footer="0.31496062992125984"/>
  <pageSetup paperSize="9" scale="72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2">
    <pageSetUpPr fitToPage="1"/>
  </sheetPr>
  <dimension ref="A1:X54"/>
  <sheetViews>
    <sheetView showGridLines="0" showRowColHeaders="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6" ht="15" customHeight="1" x14ac:dyDescent="0.2">
      <c r="C8" s="27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6" ht="15" customHeight="1" x14ac:dyDescent="0.2"/>
    <row r="11" spans="1:16" ht="15" customHeight="1" x14ac:dyDescent="0.2">
      <c r="D11" s="266" t="s">
        <v>190</v>
      </c>
      <c r="G11" s="237">
        <v>1.5</v>
      </c>
      <c r="H11" s="266" t="s">
        <v>337</v>
      </c>
      <c r="J11" s="483">
        <f>10000/G11</f>
        <v>6666.666666666667</v>
      </c>
      <c r="K11" s="266" t="s">
        <v>2140</v>
      </c>
    </row>
    <row r="12" spans="1:16" ht="15" customHeight="1" x14ac:dyDescent="0.2">
      <c r="F12" s="265"/>
      <c r="G12" s="271"/>
      <c r="H12" s="271"/>
    </row>
    <row r="13" spans="1:16" ht="15" customHeight="1" x14ac:dyDescent="0.2">
      <c r="D13" s="266" t="s">
        <v>1703</v>
      </c>
      <c r="G13" s="237">
        <v>9</v>
      </c>
      <c r="H13" s="356" t="s">
        <v>1953</v>
      </c>
    </row>
    <row r="14" spans="1:16" ht="15" customHeight="1" x14ac:dyDescent="0.2">
      <c r="G14" s="237">
        <v>120</v>
      </c>
      <c r="H14" s="356" t="s">
        <v>1933</v>
      </c>
    </row>
    <row r="15" spans="1:16" ht="15" customHeight="1" x14ac:dyDescent="0.2">
      <c r="G15" s="237">
        <v>8</v>
      </c>
      <c r="H15" s="356" t="s">
        <v>1934</v>
      </c>
    </row>
    <row r="16" spans="1:16" ht="15" customHeight="1" x14ac:dyDescent="0.2">
      <c r="G16" s="237">
        <v>30</v>
      </c>
      <c r="H16" s="356" t="s">
        <v>1929</v>
      </c>
    </row>
    <row r="17" spans="3:24" ht="15" customHeight="1" x14ac:dyDescent="0.2">
      <c r="G17" s="265"/>
    </row>
    <row r="18" spans="3:24" ht="15" customHeight="1" x14ac:dyDescent="0.2">
      <c r="D18" s="49" t="s">
        <v>340</v>
      </c>
      <c r="G18" s="237">
        <v>90</v>
      </c>
      <c r="H18" s="49" t="s">
        <v>341</v>
      </c>
    </row>
    <row r="19" spans="3:24" ht="15" customHeight="1" x14ac:dyDescent="0.2">
      <c r="F19" s="265"/>
    </row>
    <row r="20" spans="3:24" ht="15" customHeight="1" x14ac:dyDescent="0.25">
      <c r="D20" s="291" t="s">
        <v>371</v>
      </c>
      <c r="E20" s="291"/>
      <c r="F20" s="291"/>
      <c r="G20" s="291"/>
      <c r="H20" s="291"/>
    </row>
    <row r="21" spans="3:24" ht="15" customHeight="1" x14ac:dyDescent="0.25">
      <c r="C21" s="27"/>
      <c r="D21" s="221" t="s">
        <v>573</v>
      </c>
      <c r="E21" s="27"/>
      <c r="F21" s="476"/>
      <c r="G21" s="476"/>
      <c r="H21" s="476"/>
      <c r="I21" s="27"/>
      <c r="J21" s="27"/>
      <c r="K21" s="27"/>
      <c r="L21" s="27"/>
      <c r="M21" s="27"/>
      <c r="N21" s="27"/>
    </row>
    <row r="22" spans="3:24" ht="15" customHeight="1" x14ac:dyDescent="0.2">
      <c r="C22" s="27"/>
      <c r="D22" s="267" t="s">
        <v>348</v>
      </c>
      <c r="E22" s="267"/>
      <c r="F22" s="27"/>
      <c r="G22" s="220">
        <f>IF((G15*(60-G16)/G18)&gt;0,G15*(60-G16)/G18,0)</f>
        <v>2.6666666666666665</v>
      </c>
      <c r="H22" s="321" t="s">
        <v>349</v>
      </c>
      <c r="I22" s="304"/>
      <c r="J22" s="304"/>
      <c r="K22" s="304"/>
      <c r="L22" s="304"/>
      <c r="M22" s="304"/>
      <c r="N22" s="27"/>
    </row>
    <row r="23" spans="3:24" ht="15" customHeight="1" x14ac:dyDescent="0.2">
      <c r="C23" s="27"/>
      <c r="D23" s="27"/>
      <c r="E23" s="27"/>
      <c r="F23" s="221"/>
      <c r="G23" s="27"/>
      <c r="H23" s="27"/>
      <c r="I23" s="27"/>
      <c r="J23" s="27"/>
      <c r="K23" s="27"/>
      <c r="L23" s="27"/>
      <c r="M23" s="27"/>
      <c r="N23" s="27"/>
    </row>
    <row r="24" spans="3:24" ht="15" customHeight="1" x14ac:dyDescent="0.2">
      <c r="C24" s="27"/>
      <c r="D24" s="221" t="s">
        <v>568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3:24" ht="15" customHeight="1" x14ac:dyDescent="0.2">
      <c r="C25" s="27"/>
      <c r="D25" s="292" t="s">
        <v>1182</v>
      </c>
      <c r="E25" s="27"/>
      <c r="F25" s="27"/>
      <c r="G25" s="222">
        <v>30</v>
      </c>
      <c r="H25" s="27" t="s">
        <v>343</v>
      </c>
      <c r="I25" s="27"/>
      <c r="J25" s="27"/>
      <c r="K25" s="27"/>
      <c r="L25" s="27"/>
      <c r="M25" s="27"/>
      <c r="N25" s="27"/>
    </row>
    <row r="26" spans="3:24" ht="15" customHeight="1" x14ac:dyDescent="0.3">
      <c r="C26" s="27"/>
      <c r="D26" s="27"/>
      <c r="E26" s="27"/>
      <c r="F26" s="27"/>
      <c r="G26" s="222" t="str">
        <f>W26</f>
        <v>180</v>
      </c>
      <c r="H26" s="27" t="s">
        <v>1179</v>
      </c>
      <c r="I26" s="27"/>
      <c r="J26" s="27"/>
      <c r="K26" s="27"/>
      <c r="L26" s="27"/>
      <c r="M26" s="27"/>
      <c r="N26" s="27"/>
      <c r="W26" s="256" t="str">
        <f>IF(G13&lt;20,"180",IF(AND(G13&gt;=20,G13&lt;40),"120",IF(AND(G13&gt;=80,G13&lt;60),"80",0)))</f>
        <v>180</v>
      </c>
      <c r="X26" s="266" t="s">
        <v>678</v>
      </c>
    </row>
    <row r="27" spans="3:24" ht="15" customHeight="1" x14ac:dyDescent="0.3">
      <c r="C27" s="27"/>
      <c r="D27" s="27"/>
      <c r="E27" s="27"/>
      <c r="F27" s="27"/>
      <c r="G27" s="222">
        <f>W27*0.6</f>
        <v>48</v>
      </c>
      <c r="H27" s="27" t="s">
        <v>1180</v>
      </c>
      <c r="I27" s="27"/>
      <c r="J27" s="27"/>
      <c r="K27" s="27"/>
      <c r="L27" s="27"/>
      <c r="M27" s="27"/>
      <c r="N27" s="27"/>
      <c r="W27" s="256">
        <f>IF(G14&lt;60,150,IF(AND(G14&gt;=60,G14&lt;120),120,IF(AND(G14&gt;=120,G14&lt;200),80,IF(AND(G14&gt;=200,G14&lt;280),60,0))))</f>
        <v>80</v>
      </c>
      <c r="X27" s="266" t="s">
        <v>757</v>
      </c>
    </row>
    <row r="28" spans="3:24" ht="1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W28" s="49"/>
    </row>
    <row r="29" spans="3:24" ht="15" customHeight="1" x14ac:dyDescent="0.2">
      <c r="C29" s="27"/>
      <c r="D29" s="399" t="s">
        <v>1181</v>
      </c>
      <c r="E29" s="27"/>
      <c r="F29" s="222"/>
      <c r="G29" s="222">
        <v>50</v>
      </c>
      <c r="H29" s="27" t="s">
        <v>343</v>
      </c>
      <c r="I29" s="27"/>
      <c r="J29" s="27"/>
      <c r="K29" s="27"/>
      <c r="L29" s="27"/>
      <c r="M29" s="27"/>
      <c r="N29" s="27"/>
      <c r="W29" s="256">
        <f>G25*10</f>
        <v>300</v>
      </c>
      <c r="X29" s="266" t="s">
        <v>1480</v>
      </c>
    </row>
    <row r="30" spans="3:24" ht="15" customHeight="1" x14ac:dyDescent="0.3">
      <c r="C30" s="27"/>
      <c r="D30" s="27"/>
      <c r="E30" s="27"/>
      <c r="F30" s="27"/>
      <c r="G30" s="222">
        <f>W27*0.4</f>
        <v>32</v>
      </c>
      <c r="H30" s="27" t="s">
        <v>1180</v>
      </c>
      <c r="I30" s="27"/>
      <c r="J30" s="27"/>
      <c r="K30" s="27"/>
      <c r="L30" s="27"/>
      <c r="M30" s="27"/>
      <c r="N30" s="27"/>
      <c r="W30" s="256">
        <f>G29*5</f>
        <v>250</v>
      </c>
      <c r="X30" s="49" t="s">
        <v>1481</v>
      </c>
    </row>
    <row r="31" spans="3:24" ht="1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W31" s="49"/>
    </row>
    <row r="32" spans="3:24" ht="15" customHeight="1" x14ac:dyDescent="0.2">
      <c r="C32" s="27"/>
      <c r="D32" s="221" t="s">
        <v>1997</v>
      </c>
      <c r="E32" s="27"/>
      <c r="F32" s="221"/>
      <c r="G32" s="27"/>
      <c r="H32" s="27"/>
      <c r="I32" s="27"/>
      <c r="J32" s="27"/>
      <c r="K32" s="27"/>
      <c r="L32" s="27"/>
      <c r="M32" s="27"/>
      <c r="N32" s="27"/>
      <c r="W32" s="49"/>
    </row>
    <row r="33" spans="3:23" ht="15" customHeight="1" x14ac:dyDescent="0.2">
      <c r="C33" s="27"/>
      <c r="D33" s="26" t="s">
        <v>1182</v>
      </c>
      <c r="E33" s="27"/>
      <c r="F33" s="222">
        <f>((G25*10)*1000)/J11</f>
        <v>45</v>
      </c>
      <c r="G33" s="27" t="str">
        <f>"g/m de sulco de  10 - 0 - "&amp;W33&amp;" ."</f>
        <v>g/m de sulco de  10 - 0 - 16 .</v>
      </c>
      <c r="H33" s="27"/>
      <c r="I33" s="27"/>
      <c r="J33" s="27"/>
      <c r="K33" s="27"/>
      <c r="L33" s="222"/>
      <c r="M33" s="222"/>
      <c r="N33" s="27"/>
      <c r="W33" s="256">
        <f>ROUND((G27*100)/W29,)</f>
        <v>16</v>
      </c>
    </row>
    <row r="34" spans="3:23" ht="15" customHeight="1" x14ac:dyDescent="0.2">
      <c r="C34" s="27"/>
      <c r="D34" s="27"/>
      <c r="E34" s="27"/>
      <c r="F34" s="222">
        <f>((G26*5)*1000)/J11</f>
        <v>135</v>
      </c>
      <c r="G34" s="26" t="s">
        <v>2138</v>
      </c>
      <c r="H34" s="27"/>
      <c r="I34" s="27"/>
      <c r="J34" s="27"/>
      <c r="K34" s="27"/>
      <c r="L34" s="221"/>
      <c r="M34" s="27"/>
      <c r="N34" s="27"/>
      <c r="W34" s="49"/>
    </row>
    <row r="35" spans="3:23" ht="1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W35" s="49"/>
    </row>
    <row r="36" spans="3:23" ht="15" customHeight="1" x14ac:dyDescent="0.2">
      <c r="C36" s="27"/>
      <c r="D36" s="26" t="s">
        <v>1181</v>
      </c>
      <c r="E36" s="27"/>
      <c r="F36" s="224">
        <f>((G29*5)*1000)/J11</f>
        <v>37.5</v>
      </c>
      <c r="G36" s="26" t="str">
        <f>"g/m de sulco de  20 - 0 - "&amp;W36&amp;" ."</f>
        <v>g/m de sulco de  20 - 0 - 13 .</v>
      </c>
      <c r="H36" s="27"/>
      <c r="I36" s="222"/>
      <c r="J36" s="222"/>
      <c r="K36" s="27"/>
      <c r="L36" s="27"/>
      <c r="M36" s="27"/>
      <c r="N36" s="27"/>
      <c r="W36" s="350">
        <f>ROUND((G30*100)/W30,)</f>
        <v>13</v>
      </c>
    </row>
    <row r="37" spans="3:23" ht="15" customHeight="1" x14ac:dyDescent="0.2">
      <c r="C37" s="27"/>
      <c r="D37" s="27"/>
      <c r="E37" s="27"/>
      <c r="F37" s="221"/>
      <c r="G37" s="27"/>
      <c r="H37" s="27"/>
      <c r="I37" s="27"/>
      <c r="J37" s="27"/>
      <c r="K37" s="27"/>
      <c r="L37" s="27"/>
      <c r="M37" s="27"/>
      <c r="N37" s="27"/>
      <c r="W37" s="49"/>
    </row>
    <row r="38" spans="3:23" ht="1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W38" s="49"/>
    </row>
    <row r="39" spans="3:23" ht="15" customHeight="1" x14ac:dyDescent="0.2">
      <c r="C39" s="27"/>
      <c r="D39" s="27"/>
      <c r="E39" s="27"/>
      <c r="F39" s="221"/>
      <c r="G39" s="27"/>
      <c r="H39" s="27"/>
      <c r="I39" s="27"/>
      <c r="J39" s="27"/>
      <c r="K39" s="27"/>
      <c r="L39" s="27"/>
      <c r="M39" s="27"/>
      <c r="N39" s="27"/>
    </row>
    <row r="40" spans="3:23" ht="1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3:23" ht="15" customHeight="1" x14ac:dyDescent="0.2">
      <c r="C41" s="27"/>
      <c r="D41" s="221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3:23" ht="1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3:23" ht="1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96"/>
      <c r="O43" s="60"/>
      <c r="P43" s="60"/>
      <c r="Q43" s="60"/>
    </row>
    <row r="44" spans="3:23" ht="1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96"/>
      <c r="O44" s="60"/>
      <c r="P44" s="60"/>
      <c r="Q44" s="60"/>
    </row>
    <row r="45" spans="3:23" ht="1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96"/>
      <c r="O45" s="60"/>
      <c r="P45" s="60"/>
      <c r="Q45" s="60"/>
    </row>
    <row r="46" spans="3:23" s="60" customFormat="1" ht="15" customHeight="1" x14ac:dyDescent="0.2">
      <c r="C46" s="296"/>
      <c r="D46" s="226" t="s">
        <v>891</v>
      </c>
      <c r="E46" s="772"/>
      <c r="F46" s="772"/>
      <c r="G46" s="296" t="s">
        <v>373</v>
      </c>
      <c r="H46" s="296"/>
      <c r="I46" s="296"/>
      <c r="J46" s="296"/>
      <c r="K46" s="296"/>
      <c r="L46" s="296"/>
      <c r="M46" s="296"/>
    </row>
    <row r="47" spans="3:23" s="60" customFormat="1" ht="15" customHeight="1" x14ac:dyDescent="0.2">
      <c r="C47" s="296"/>
      <c r="D47" s="267"/>
      <c r="E47" s="296"/>
      <c r="F47" s="296"/>
      <c r="G47" s="296"/>
      <c r="H47" s="296"/>
      <c r="I47" s="296"/>
      <c r="J47" s="296"/>
      <c r="K47" s="296"/>
      <c r="L47" s="296"/>
      <c r="M47" s="296"/>
      <c r="N47" s="266"/>
      <c r="O47" s="266"/>
      <c r="P47" s="266"/>
      <c r="Q47" s="266"/>
    </row>
    <row r="48" spans="3:23" s="60" customFormat="1" ht="15" hidden="1" customHeight="1" x14ac:dyDescent="0.2">
      <c r="C48" s="296"/>
      <c r="D48" s="267"/>
      <c r="E48" s="296"/>
      <c r="F48" s="296"/>
      <c r="G48" s="296"/>
      <c r="I48" s="296"/>
      <c r="J48" s="296"/>
      <c r="K48" s="296"/>
      <c r="L48" s="296"/>
      <c r="M48" s="296"/>
      <c r="N48" s="266"/>
      <c r="O48" s="266"/>
      <c r="P48" s="266"/>
      <c r="Q48" s="266"/>
    </row>
    <row r="49" spans="1:17" s="60" customFormat="1" ht="15" hidden="1" customHeight="1" x14ac:dyDescent="0.2">
      <c r="C49" s="296"/>
      <c r="D49" s="267"/>
      <c r="E49" s="296"/>
      <c r="F49" s="296"/>
      <c r="G49" s="296"/>
      <c r="H49" s="773"/>
      <c r="I49" s="773"/>
      <c r="J49" s="773"/>
      <c r="K49" s="773"/>
      <c r="L49" s="773"/>
      <c r="M49" s="773"/>
      <c r="N49" s="266"/>
      <c r="O49" s="266"/>
      <c r="P49" s="266"/>
      <c r="Q49" s="266"/>
    </row>
    <row r="50" spans="1:17" s="60" customFormat="1" ht="15" hidden="1" customHeight="1" x14ac:dyDescent="0.2">
      <c r="C50" s="296"/>
      <c r="D50" s="267"/>
      <c r="E50" s="296"/>
      <c r="F50" s="296"/>
      <c r="G50" s="296"/>
      <c r="H50" s="296"/>
      <c r="I50" s="296"/>
      <c r="J50" s="296"/>
      <c r="K50" s="296"/>
      <c r="L50" s="296"/>
      <c r="M50" s="296"/>
      <c r="N50" s="266"/>
      <c r="O50" s="266"/>
      <c r="P50" s="266"/>
      <c r="Q50" s="266"/>
    </row>
    <row r="51" spans="1:17" ht="15" hidden="1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7" ht="15" hidden="1" customHeight="1" x14ac:dyDescent="0.2"/>
    <row r="53" spans="1:17" s="60" customFormat="1" ht="15" hidden="1" customHeight="1" x14ac:dyDescent="0.2">
      <c r="B53" s="267"/>
      <c r="G53" s="33"/>
      <c r="N53" s="266"/>
      <c r="O53" s="266"/>
      <c r="P53" s="266"/>
      <c r="Q53" s="266"/>
    </row>
    <row r="54" spans="1:17" ht="15" hidden="1" customHeight="1" x14ac:dyDescent="0.2">
      <c r="C54" s="267"/>
      <c r="D54" s="267"/>
      <c r="E54" s="60"/>
      <c r="F54" s="60"/>
    </row>
  </sheetData>
  <sheetProtection algorithmName="SHA-512" hashValue="6eE9aa47+QL11Ug2Y2DgOV1yl2rK6ZpsOmuzHiqaSXW7msj9+d5t2aM/lcE08BqHSFhtOlx/Z9cF7uT+0PLjAA==" saltValue="Y3izb6Wh3Yu8Aw6rUzMFMg==" spinCount="100000" sheet="1" objects="1" scenarios="1" selectLockedCells="1"/>
  <mergeCells count="4">
    <mergeCell ref="C6:N6"/>
    <mergeCell ref="H49:M49"/>
    <mergeCell ref="E8:M8"/>
    <mergeCell ref="E46:F46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orientation="portrait" horizontalDpi="360" verticalDpi="36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3">
    <pageSetUpPr fitToPage="1"/>
  </sheetPr>
  <dimension ref="A1:P25"/>
  <sheetViews>
    <sheetView showGridLines="0" showRowColHeaders="0" zoomScaleNormal="100" zoomScaleSheetLayoutView="10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2217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264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HYPERLINK("#"&amp;"'Caqui1a2'!h1","Formação - 1 a 2 anos")</f>
        <v>Formação - 1 a 2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HYPERLINK("#"&amp;"'Caqui3a4'!h1","Formação - 3 a 4 anos")</f>
        <v>Formação - 3 a 4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HYPERLINK("#"&amp;"'CaquiProd'!h1","Produção (5° ano em diante)")</f>
        <v>Produção (5° ano em diante)</v>
      </c>
      <c r="G12" s="711"/>
      <c r="H12" s="711"/>
      <c r="I12" s="711"/>
      <c r="J12" s="711"/>
    </row>
    <row r="13" spans="1:16" ht="24.95" customHeight="1" thickTop="1" x14ac:dyDescent="0.2"/>
    <row r="14" spans="1:16" ht="24.95" customHeight="1" x14ac:dyDescent="0.2"/>
    <row r="15" spans="1:16" ht="24.95" hidden="1" customHeight="1" x14ac:dyDescent="0.2"/>
    <row r="16" spans="1:16" ht="24.95" hidden="1" customHeight="1" x14ac:dyDescent="0.2"/>
    <row r="17" ht="24.95" hidden="1" customHeight="1" x14ac:dyDescent="0.2"/>
    <row r="18" ht="24.95" hidden="1" customHeight="1" x14ac:dyDescent="0.2"/>
    <row r="19" ht="24.95" hidden="1" customHeight="1" x14ac:dyDescent="0.2"/>
    <row r="20" ht="24.95" hidden="1" customHeight="1" x14ac:dyDescent="0.2"/>
    <row r="21" ht="24.95" hidden="1" customHeight="1" x14ac:dyDescent="0.2"/>
    <row r="22" ht="24.95" hidden="1" customHeight="1" x14ac:dyDescent="0.2"/>
    <row r="23" ht="24.95" hidden="1" customHeight="1" x14ac:dyDescent="0.2"/>
    <row r="24" ht="24.95" hidden="1" customHeight="1" x14ac:dyDescent="0.2"/>
    <row r="25" ht="24.95" hidden="1" customHeight="1" x14ac:dyDescent="0.2"/>
  </sheetData>
  <sheetProtection algorithmName="SHA-512" hashValue="Wm4Y7ulrXIi9OKkYvTvXwuESr0BPIzlyiR8Dt7NDrLJYNPN3WXbAE106Xeh9xzMD7L4aEObTstU72odu0NmDKQ==" saltValue="xwC6nrmJXGbUEG5hRLWf/g==" spinCount="100000" sheet="1" objects="1" scenarios="1"/>
  <mergeCells count="6">
    <mergeCell ref="F12:J12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pageSetUpPr fitToPage="1"/>
  </sheetPr>
  <dimension ref="A1:AE56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5" customHeight="1" zeroHeight="1" x14ac:dyDescent="0.2"/>
  <cols>
    <col min="1" max="16" width="9.140625" style="266" customWidth="1"/>
    <col min="17" max="31" width="0" style="266" hidden="1" customWidth="1"/>
    <col min="32" max="16384" width="9.140625" style="266" hidden="1"/>
  </cols>
  <sheetData>
    <row r="1" spans="1:31" ht="24.9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31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31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31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31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31" ht="24.95" customHeight="1" x14ac:dyDescent="0.2">
      <c r="F6" s="699" t="s">
        <v>152</v>
      </c>
      <c r="G6" s="699"/>
      <c r="H6" s="699"/>
      <c r="I6" s="699"/>
      <c r="J6" s="699"/>
      <c r="K6" s="699"/>
    </row>
    <row r="7" spans="1:31" ht="15" customHeight="1" x14ac:dyDescent="0.2">
      <c r="D7" s="700" t="s">
        <v>1841</v>
      </c>
      <c r="E7" s="700"/>
      <c r="F7" s="700"/>
      <c r="G7" s="700"/>
      <c r="H7" s="700"/>
      <c r="I7" s="700"/>
      <c r="J7" s="700"/>
      <c r="K7" s="700"/>
      <c r="L7" s="700"/>
      <c r="M7" s="700"/>
      <c r="N7" s="356"/>
    </row>
    <row r="8" spans="1:31" ht="15" customHeight="1" x14ac:dyDescent="0.25">
      <c r="B8" s="219"/>
      <c r="D8" s="322"/>
      <c r="E8" s="322"/>
      <c r="F8" s="322"/>
      <c r="G8" s="322"/>
      <c r="H8" s="322"/>
      <c r="I8" s="322"/>
      <c r="J8" s="322"/>
      <c r="K8" s="322"/>
      <c r="L8" s="322"/>
    </row>
    <row r="9" spans="1:31" ht="15" customHeight="1" x14ac:dyDescent="0.2">
      <c r="D9" s="391" t="s">
        <v>1313</v>
      </c>
      <c r="E9" s="693" t="s">
        <v>1687</v>
      </c>
      <c r="F9" s="693"/>
      <c r="G9" s="693"/>
      <c r="H9" s="693"/>
      <c r="I9" s="693"/>
      <c r="J9" s="693"/>
      <c r="K9" s="693"/>
      <c r="L9" s="693"/>
      <c r="M9" s="693"/>
      <c r="N9" s="88"/>
      <c r="O9" s="392"/>
      <c r="P9" s="37"/>
    </row>
    <row r="10" spans="1:31" ht="15" customHeight="1" x14ac:dyDescent="0.2">
      <c r="D10" s="391" t="s">
        <v>832</v>
      </c>
      <c r="E10" s="693" t="s">
        <v>530</v>
      </c>
      <c r="F10" s="693"/>
      <c r="G10" s="693"/>
      <c r="H10" s="693"/>
      <c r="I10" s="693"/>
      <c r="J10" s="693"/>
      <c r="K10" s="693"/>
      <c r="L10" s="693"/>
      <c r="M10" s="693"/>
      <c r="N10" s="88"/>
      <c r="O10" s="27"/>
      <c r="P10" s="37"/>
      <c r="V10" s="295" t="s">
        <v>153</v>
      </c>
      <c r="X10" s="281"/>
      <c r="Y10" s="281"/>
      <c r="Z10" s="281"/>
      <c r="AA10" s="281"/>
      <c r="AB10" s="281"/>
      <c r="AC10" s="281"/>
      <c r="AD10" s="281"/>
      <c r="AE10" s="281"/>
    </row>
    <row r="11" spans="1:31" ht="15" customHeight="1" x14ac:dyDescent="0.2">
      <c r="O11" s="37"/>
      <c r="P11" s="37"/>
      <c r="Q11" s="37"/>
      <c r="R11" s="207"/>
      <c r="S11" s="37"/>
      <c r="T11" s="37"/>
      <c r="V11" s="49" t="s">
        <v>154</v>
      </c>
      <c r="X11" s="281"/>
      <c r="Y11" s="281"/>
      <c r="Z11" s="281"/>
      <c r="AA11" s="281"/>
      <c r="AB11" s="281"/>
      <c r="AC11" s="281"/>
      <c r="AD11" s="281"/>
      <c r="AE11" s="281"/>
    </row>
    <row r="12" spans="1:31" ht="15" customHeight="1" x14ac:dyDescent="0.2">
      <c r="D12" s="49" t="s">
        <v>1842</v>
      </c>
      <c r="G12" s="3">
        <v>10</v>
      </c>
      <c r="H12" s="266" t="s">
        <v>156</v>
      </c>
      <c r="V12" s="49" t="s">
        <v>155</v>
      </c>
      <c r="W12" s="213"/>
      <c r="X12" s="281"/>
      <c r="Y12" s="281"/>
      <c r="Z12" s="281"/>
      <c r="AA12" s="281"/>
      <c r="AB12" s="281"/>
      <c r="AC12" s="281"/>
      <c r="AD12" s="281"/>
      <c r="AE12" s="281"/>
    </row>
    <row r="13" spans="1:31" ht="15" customHeight="1" x14ac:dyDescent="0.2">
      <c r="D13" s="266" t="s">
        <v>157</v>
      </c>
      <c r="G13" s="8">
        <v>10000</v>
      </c>
      <c r="H13" s="266" t="s">
        <v>158</v>
      </c>
      <c r="K13" s="265"/>
      <c r="V13" s="393"/>
      <c r="X13" s="281"/>
      <c r="Y13" s="281"/>
      <c r="Z13" s="281"/>
      <c r="AA13" s="281"/>
      <c r="AB13" s="281"/>
      <c r="AC13" s="281"/>
      <c r="AD13" s="281"/>
      <c r="AE13" s="281"/>
    </row>
    <row r="14" spans="1:31" ht="15" customHeight="1" x14ac:dyDescent="0.2">
      <c r="G14" s="263"/>
      <c r="K14" s="265"/>
      <c r="U14" s="394"/>
      <c r="V14" s="37"/>
    </row>
    <row r="15" spans="1:31" ht="15" customHeight="1" x14ac:dyDescent="0.2">
      <c r="D15" s="49" t="s">
        <v>1843</v>
      </c>
      <c r="U15" s="37"/>
      <c r="V15" s="37"/>
    </row>
    <row r="16" spans="1:31" ht="15" customHeight="1" x14ac:dyDescent="0.2">
      <c r="J16" s="49"/>
      <c r="U16" s="37"/>
      <c r="V16" s="37"/>
    </row>
    <row r="17" spans="4:24" ht="15" customHeight="1" x14ac:dyDescent="0.2">
      <c r="D17" s="266" t="s">
        <v>159</v>
      </c>
      <c r="F17" s="225"/>
      <c r="G17" s="3">
        <v>300</v>
      </c>
      <c r="H17" s="266" t="s">
        <v>428</v>
      </c>
      <c r="J17" s="706" t="str">
        <f>HYPERLINK("#"&amp;"'TAbFertirrigacao'!h1","TABELA - Quantidade de N e K exigido")</f>
        <v>TABELA - Quantidade de N e K exigido</v>
      </c>
      <c r="K17" s="706"/>
      <c r="L17" s="706"/>
      <c r="M17" s="706"/>
    </row>
    <row r="18" spans="4:24" ht="15" customHeight="1" x14ac:dyDescent="0.3">
      <c r="D18" s="266" t="s">
        <v>160</v>
      </c>
      <c r="F18" s="225"/>
      <c r="G18" s="3">
        <v>250</v>
      </c>
      <c r="H18" s="266" t="s">
        <v>428</v>
      </c>
    </row>
    <row r="19" spans="4:24" ht="15" customHeight="1" x14ac:dyDescent="0.2"/>
    <row r="20" spans="4:24" ht="15" customHeight="1" x14ac:dyDescent="0.2">
      <c r="D20" s="49" t="s">
        <v>1616</v>
      </c>
      <c r="G20" s="237">
        <v>2</v>
      </c>
      <c r="H20" s="266" t="s">
        <v>1052</v>
      </c>
      <c r="W20" s="263">
        <f>(G20*G12)</f>
        <v>20</v>
      </c>
      <c r="X20" s="49" t="s">
        <v>187</v>
      </c>
    </row>
    <row r="21" spans="4:24" ht="15" customHeight="1" x14ac:dyDescent="0.2">
      <c r="W21" s="310">
        <f>G18*(100/H26)</f>
        <v>416.66666666666669</v>
      </c>
      <c r="X21" s="266" t="s">
        <v>162</v>
      </c>
    </row>
    <row r="22" spans="4:24" ht="15" customHeight="1" x14ac:dyDescent="0.2">
      <c r="D22" s="49" t="s">
        <v>1844</v>
      </c>
      <c r="W22" s="310">
        <f>W21*(G26/100)</f>
        <v>0</v>
      </c>
      <c r="X22" s="266" t="s">
        <v>163</v>
      </c>
    </row>
    <row r="23" spans="4:24" ht="15" customHeight="1" x14ac:dyDescent="0.2">
      <c r="D23" s="281"/>
      <c r="E23" s="290" t="s">
        <v>1845</v>
      </c>
      <c r="W23" s="310"/>
    </row>
    <row r="24" spans="4:24" ht="15" customHeight="1" x14ac:dyDescent="0.2">
      <c r="E24" s="393" t="s">
        <v>164</v>
      </c>
      <c r="F24" s="393"/>
    </row>
    <row r="25" spans="4:24" ht="15" customHeight="1" x14ac:dyDescent="0.2">
      <c r="G25" s="395" t="s">
        <v>828</v>
      </c>
      <c r="H25" s="395" t="s">
        <v>165</v>
      </c>
      <c r="N25" s="265"/>
      <c r="W25" s="310">
        <f>G17-W22</f>
        <v>300</v>
      </c>
      <c r="X25" s="266" t="s">
        <v>166</v>
      </c>
    </row>
    <row r="26" spans="4:24" ht="15" customHeight="1" x14ac:dyDescent="0.2">
      <c r="D26" s="230" t="s">
        <v>167</v>
      </c>
      <c r="E26" s="703" t="s">
        <v>860</v>
      </c>
      <c r="F26" s="704"/>
      <c r="G26" s="237">
        <v>0</v>
      </c>
      <c r="H26" s="237">
        <v>60</v>
      </c>
      <c r="K26" s="283"/>
      <c r="N26" s="263"/>
      <c r="W26" s="310">
        <f>W25*(100/G27)</f>
        <v>666.66666666666674</v>
      </c>
      <c r="X26" s="266" t="s">
        <v>168</v>
      </c>
    </row>
    <row r="27" spans="4:24" ht="15" customHeight="1" x14ac:dyDescent="0.2">
      <c r="D27" s="230" t="s">
        <v>169</v>
      </c>
      <c r="E27" s="705" t="s">
        <v>1617</v>
      </c>
      <c r="F27" s="704"/>
      <c r="G27" s="237">
        <v>45</v>
      </c>
      <c r="H27" s="283"/>
      <c r="J27" s="283"/>
      <c r="K27" s="283"/>
      <c r="M27" s="265"/>
      <c r="N27" s="265"/>
    </row>
    <row r="28" spans="4:24" ht="15" customHeight="1" x14ac:dyDescent="0.2">
      <c r="E28" s="27"/>
      <c r="F28" s="27"/>
      <c r="G28" s="27"/>
      <c r="H28" s="27"/>
      <c r="I28" s="27"/>
      <c r="J28" s="27"/>
      <c r="K28" s="27"/>
      <c r="L28" s="263"/>
      <c r="M28" s="263"/>
      <c r="N28" s="263"/>
      <c r="W28" s="396">
        <f>(W21/W20)*(G13/10000)</f>
        <v>20.833333333333336</v>
      </c>
      <c r="X28" s="266" t="s">
        <v>170</v>
      </c>
    </row>
    <row r="29" spans="4:24" ht="15" customHeight="1" x14ac:dyDescent="0.2">
      <c r="E29" s="169" t="s">
        <v>1848</v>
      </c>
      <c r="G29" s="27"/>
      <c r="H29" s="27"/>
      <c r="I29" s="27"/>
      <c r="J29" s="27"/>
      <c r="K29" s="27"/>
      <c r="L29" s="27"/>
      <c r="M29" s="263"/>
      <c r="W29" s="396"/>
    </row>
    <row r="30" spans="4:24" ht="15" customHeight="1" x14ac:dyDescent="0.2">
      <c r="I30" s="86"/>
      <c r="W30" s="396">
        <f>(W26/W20) *(G13/10000)</f>
        <v>33.333333333333336</v>
      </c>
      <c r="X30" s="266" t="s">
        <v>171</v>
      </c>
    </row>
    <row r="31" spans="4:24" ht="15" customHeight="1" x14ac:dyDescent="0.2">
      <c r="E31" s="397" t="s">
        <v>1847</v>
      </c>
      <c r="F31" s="397"/>
      <c r="G31" s="249" t="s">
        <v>828</v>
      </c>
      <c r="H31" s="249" t="s">
        <v>165</v>
      </c>
      <c r="I31" s="27"/>
      <c r="J31" s="397" t="s">
        <v>1847</v>
      </c>
      <c r="K31" s="397"/>
      <c r="L31" s="249" t="s">
        <v>828</v>
      </c>
      <c r="R31" s="396"/>
    </row>
    <row r="32" spans="4:24" ht="15" customHeight="1" x14ac:dyDescent="0.2">
      <c r="E32" s="356" t="s">
        <v>1556</v>
      </c>
      <c r="F32" s="76"/>
      <c r="G32" s="361">
        <v>12</v>
      </c>
      <c r="H32" s="185">
        <v>45</v>
      </c>
      <c r="I32" s="27"/>
      <c r="J32" s="356" t="s">
        <v>1617</v>
      </c>
      <c r="K32" s="361"/>
      <c r="L32" s="185">
        <v>45</v>
      </c>
      <c r="R32" s="396"/>
    </row>
    <row r="33" spans="3:23" ht="15" customHeight="1" x14ac:dyDescent="0.2">
      <c r="E33" s="356" t="s">
        <v>1550</v>
      </c>
      <c r="F33" s="76"/>
      <c r="G33" s="361">
        <v>0</v>
      </c>
      <c r="H33" s="185">
        <v>60</v>
      </c>
      <c r="I33" s="27"/>
      <c r="J33" s="356" t="s">
        <v>810</v>
      </c>
      <c r="K33" s="361"/>
      <c r="L33" s="185">
        <v>20</v>
      </c>
      <c r="R33" s="396"/>
    </row>
    <row r="34" spans="3:23" ht="15" customHeight="1" x14ac:dyDescent="0.2">
      <c r="E34" s="368" t="s">
        <v>1553</v>
      </c>
      <c r="F34" s="92"/>
      <c r="G34" s="261">
        <v>0</v>
      </c>
      <c r="H34" s="261">
        <v>48</v>
      </c>
      <c r="I34" s="27"/>
      <c r="J34" s="356" t="s">
        <v>814</v>
      </c>
      <c r="K34" s="361"/>
      <c r="L34" s="185">
        <v>32</v>
      </c>
      <c r="R34" s="396"/>
    </row>
    <row r="35" spans="3:23" ht="15" customHeight="1" x14ac:dyDescent="0.2">
      <c r="G35" s="27"/>
      <c r="H35" s="27"/>
      <c r="I35" s="27"/>
      <c r="J35" s="88" t="s">
        <v>1552</v>
      </c>
      <c r="K35" s="361"/>
      <c r="L35" s="185">
        <v>15</v>
      </c>
      <c r="R35" s="396"/>
    </row>
    <row r="36" spans="3:23" ht="15" customHeight="1" x14ac:dyDescent="0.2">
      <c r="G36" s="27"/>
      <c r="H36" s="27"/>
      <c r="I36" s="27"/>
      <c r="J36" s="88" t="s">
        <v>1543</v>
      </c>
      <c r="K36" s="361"/>
      <c r="L36" s="185">
        <v>12</v>
      </c>
      <c r="R36" s="396"/>
    </row>
    <row r="37" spans="3:23" ht="15" customHeight="1" x14ac:dyDescent="0.2">
      <c r="F37" s="27"/>
      <c r="G37" s="27"/>
      <c r="H37" s="27"/>
      <c r="I37" s="27"/>
      <c r="J37" s="368" t="s">
        <v>1846</v>
      </c>
      <c r="K37" s="261"/>
      <c r="L37" s="261">
        <v>16</v>
      </c>
      <c r="M37" s="263"/>
      <c r="N37" s="263"/>
      <c r="R37" s="396"/>
    </row>
    <row r="38" spans="3:23" ht="15" customHeight="1" x14ac:dyDescent="0.2">
      <c r="F38" s="27"/>
      <c r="G38" s="27"/>
      <c r="H38" s="27"/>
      <c r="I38" s="27"/>
      <c r="J38" s="27"/>
      <c r="K38" s="27"/>
      <c r="L38" s="263"/>
      <c r="M38" s="263"/>
      <c r="N38" s="263"/>
      <c r="R38" s="396"/>
    </row>
    <row r="39" spans="3:23" ht="15" customHeight="1" x14ac:dyDescent="0.25">
      <c r="C39" s="27"/>
      <c r="D39" s="311" t="s">
        <v>371</v>
      </c>
      <c r="E39" s="221"/>
      <c r="F39" s="27"/>
      <c r="G39" s="27"/>
      <c r="H39" s="27"/>
      <c r="I39" s="27"/>
      <c r="J39" s="27"/>
      <c r="K39" s="263"/>
      <c r="L39" s="263"/>
      <c r="M39" s="263"/>
      <c r="N39" s="27"/>
    </row>
    <row r="40" spans="3:23" ht="15" customHeight="1" x14ac:dyDescent="0.2">
      <c r="C40" s="27"/>
      <c r="D40" s="26" t="s">
        <v>173</v>
      </c>
      <c r="E40" s="398"/>
      <c r="F40" s="398"/>
      <c r="G40" s="398"/>
      <c r="H40" s="220">
        <f>W28</f>
        <v>20.833333333333336</v>
      </c>
      <c r="I40" s="27" t="s">
        <v>174</v>
      </c>
      <c r="J40" s="221" t="str">
        <f>E26</f>
        <v>Cloreto de potássio</v>
      </c>
      <c r="K40" s="27"/>
      <c r="L40" s="27"/>
      <c r="M40" s="27"/>
      <c r="N40" s="27"/>
      <c r="W40" s="27"/>
    </row>
    <row r="41" spans="3:23" ht="15" customHeight="1" x14ac:dyDescent="0.2">
      <c r="C41" s="27"/>
      <c r="D41" s="399"/>
      <c r="E41" s="27"/>
      <c r="F41" s="400"/>
      <c r="G41" s="401"/>
      <c r="H41" s="220">
        <f>IF(W30&gt;0,W30,0)</f>
        <v>33.333333333333336</v>
      </c>
      <c r="I41" s="27" t="s">
        <v>175</v>
      </c>
      <c r="J41" s="221" t="str">
        <f>E27</f>
        <v>Ureia</v>
      </c>
      <c r="K41" s="27"/>
      <c r="L41" s="27"/>
      <c r="M41" s="27"/>
      <c r="N41" s="27"/>
    </row>
    <row r="42" spans="3:23" ht="1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3:23" ht="15" customHeight="1" x14ac:dyDescent="0.2">
      <c r="C43" s="27"/>
      <c r="D43" s="27"/>
      <c r="E43" s="27"/>
      <c r="F43" s="27"/>
      <c r="G43" s="27"/>
      <c r="H43" s="27"/>
      <c r="I43" s="317" t="s">
        <v>1688</v>
      </c>
      <c r="J43" s="222">
        <f>G20</f>
        <v>2</v>
      </c>
      <c r="K43" s="273" t="s">
        <v>1690</v>
      </c>
      <c r="L43" s="27"/>
      <c r="M43" s="27"/>
      <c r="N43" s="27"/>
    </row>
    <row r="44" spans="3:23" ht="15" customHeight="1" x14ac:dyDescent="0.2">
      <c r="C44" s="27"/>
      <c r="D44" s="27"/>
      <c r="E44" s="27"/>
      <c r="F44" s="27"/>
      <c r="G44" s="27"/>
      <c r="H44" s="222"/>
      <c r="I44" s="317" t="s">
        <v>1692</v>
      </c>
      <c r="J44" s="222">
        <f>G12</f>
        <v>10</v>
      </c>
      <c r="K44" s="26" t="s">
        <v>1691</v>
      </c>
      <c r="L44" s="27"/>
      <c r="M44" s="27"/>
      <c r="N44" s="27"/>
    </row>
    <row r="45" spans="3:23" ht="15" customHeight="1" x14ac:dyDescent="0.2">
      <c r="C45" s="27"/>
      <c r="D45" s="27"/>
      <c r="E45" s="27"/>
      <c r="F45" s="27"/>
      <c r="G45" s="27"/>
      <c r="H45" s="27"/>
      <c r="I45" s="317" t="s">
        <v>176</v>
      </c>
      <c r="J45" s="222">
        <f>W20</f>
        <v>20</v>
      </c>
      <c r="K45" s="26" t="s">
        <v>1690</v>
      </c>
      <c r="L45" s="27"/>
      <c r="M45" s="27"/>
      <c r="N45" s="27"/>
    </row>
    <row r="46" spans="3:23" ht="15" customHeight="1" x14ac:dyDescent="0.2">
      <c r="C46" s="27"/>
      <c r="D46" s="27"/>
      <c r="E46" s="26"/>
      <c r="F46" s="27"/>
      <c r="G46" s="27"/>
      <c r="H46" s="26"/>
      <c r="I46" s="317" t="s">
        <v>1689</v>
      </c>
      <c r="J46" s="402">
        <f>G13</f>
        <v>10000</v>
      </c>
      <c r="K46" s="26" t="s">
        <v>177</v>
      </c>
      <c r="L46" s="27"/>
      <c r="M46" s="27"/>
      <c r="N46" s="27"/>
    </row>
    <row r="47" spans="3:23" ht="1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3:23" ht="15" customHeight="1" x14ac:dyDescent="0.2">
      <c r="C48" s="27"/>
      <c r="D48" s="221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3:14" ht="1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3:14" ht="15" customHeight="1" x14ac:dyDescent="0.2">
      <c r="C50" s="27"/>
      <c r="D50" s="26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3:14" ht="1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3:14" ht="1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3:14" ht="1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3:14" ht="1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3:14" ht="15" customHeight="1" x14ac:dyDescent="0.2">
      <c r="C55" s="27"/>
      <c r="D55" s="27"/>
      <c r="E55" s="27" t="s">
        <v>891</v>
      </c>
      <c r="F55" s="701"/>
      <c r="G55" s="702"/>
      <c r="H55" s="283" t="s">
        <v>178</v>
      </c>
      <c r="I55" s="283"/>
      <c r="J55" s="283"/>
      <c r="K55" s="27"/>
      <c r="L55" s="27"/>
      <c r="M55" s="27"/>
      <c r="N55" s="27"/>
    </row>
    <row r="56" spans="3:14" ht="1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</sheetData>
  <sheetProtection algorithmName="SHA-512" hashValue="gZ8qTwA9IkYIBYIkB6SPNiC7hnSUKRuu2GIV4zItpxnJ99ANmBH825XaUQAURtJFRS0ChztRQ3s9gtFK90xpeg==" saltValue="Z8BtF6k5g1IuaXFPU8vJ4w==" spinCount="100000" sheet="1" objects="1" scenarios="1"/>
  <mergeCells count="8">
    <mergeCell ref="F6:K6"/>
    <mergeCell ref="D7:M7"/>
    <mergeCell ref="E9:M9"/>
    <mergeCell ref="F55:G55"/>
    <mergeCell ref="E26:F26"/>
    <mergeCell ref="E27:F27"/>
    <mergeCell ref="E10:M10"/>
    <mergeCell ref="J17:M17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9" fitToHeight="0" orientation="portrait" cellComments="atEnd" horizontalDpi="300" verticalDpi="300" r:id="rId1"/>
  <headerFooter alignWithMargins="0"/>
  <drawing r:id="rId2"/>
  <legacyDrawingHF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5">
    <pageSetUpPr fitToPage="1"/>
  </sheetPr>
  <dimension ref="A1:X6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2218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16" ht="15" customHeight="1" x14ac:dyDescent="0.2">
      <c r="C8" s="27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5">
      <c r="D10" s="164" t="s">
        <v>1858</v>
      </c>
      <c r="E10" s="34"/>
      <c r="F10" s="34"/>
    </row>
    <row r="11" spans="1:16" ht="15" customHeight="1" x14ac:dyDescent="0.2">
      <c r="E11" s="49" t="s">
        <v>2221</v>
      </c>
    </row>
    <row r="12" spans="1:16" ht="15" customHeight="1" x14ac:dyDescent="0.2">
      <c r="E12" s="49" t="s">
        <v>2219</v>
      </c>
    </row>
    <row r="13" spans="1:16" ht="15" customHeight="1" x14ac:dyDescent="0.2">
      <c r="E13" s="49" t="s">
        <v>2220</v>
      </c>
    </row>
    <row r="14" spans="1:16" ht="15" customHeight="1" x14ac:dyDescent="0.2"/>
    <row r="15" spans="1:16" s="60" customFormat="1" ht="15" customHeight="1" x14ac:dyDescent="0.25">
      <c r="D15" s="164" t="s">
        <v>1940</v>
      </c>
      <c r="E15" s="34"/>
      <c r="F15" s="266"/>
      <c r="G15" s="266"/>
      <c r="H15" s="266"/>
      <c r="I15" s="266"/>
      <c r="J15" s="266"/>
      <c r="K15" s="266"/>
      <c r="L15" s="266"/>
      <c r="M15" s="266"/>
    </row>
    <row r="16" spans="1:16" s="60" customFormat="1" ht="15" customHeight="1" x14ac:dyDescent="0.2">
      <c r="D16" s="49" t="s">
        <v>1703</v>
      </c>
      <c r="G16" s="237">
        <v>4</v>
      </c>
      <c r="H16" s="356" t="s">
        <v>1953</v>
      </c>
      <c r="K16" s="266"/>
      <c r="L16" s="266"/>
      <c r="M16" s="266"/>
    </row>
    <row r="17" spans="4:24" s="60" customFormat="1" ht="15" customHeight="1" x14ac:dyDescent="0.2">
      <c r="D17" s="266"/>
      <c r="G17" s="237">
        <v>150</v>
      </c>
      <c r="H17" s="356" t="s">
        <v>1933</v>
      </c>
      <c r="K17" s="266"/>
      <c r="L17" s="266"/>
      <c r="M17" s="266"/>
      <c r="O17" s="356"/>
    </row>
    <row r="18" spans="4:24" s="60" customFormat="1" ht="15" customHeight="1" x14ac:dyDescent="0.2"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O18" s="356"/>
    </row>
    <row r="19" spans="4:24" s="60" customFormat="1" ht="15" customHeight="1" x14ac:dyDescent="0.2">
      <c r="F19" s="316" t="s">
        <v>2222</v>
      </c>
      <c r="G19" s="224">
        <f>W19*5</f>
        <v>500</v>
      </c>
      <c r="H19" s="272" t="s">
        <v>558</v>
      </c>
      <c r="I19" s="169" t="s">
        <v>1140</v>
      </c>
      <c r="J19" s="266"/>
      <c r="K19" s="266"/>
      <c r="W19" s="279" t="str">
        <f>IF(G16&lt;10,"100",IF(AND(G16&gt;=10,G16&lt;20),"80",IF(AND(G16&gt;=20,G16&lt;50),"40",0)))</f>
        <v>100</v>
      </c>
      <c r="X19" s="27" t="s">
        <v>653</v>
      </c>
    </row>
    <row r="20" spans="4:24" s="60" customFormat="1" ht="15" customHeight="1" x14ac:dyDescent="0.2">
      <c r="F20" s="226" t="s">
        <v>1139</v>
      </c>
      <c r="G20" s="276">
        <f>(W20*5)/3</f>
        <v>166.66666666666666</v>
      </c>
      <c r="H20" s="272" t="s">
        <v>558</v>
      </c>
      <c r="I20" s="277" t="str">
        <f>IF(G17&lt;60,"20-00-30",IF(AND(G17&gt;=60,G17&lt;120),"20-00-20",IF(AND(G17&gt;=120,G17&lt;200),"20-00-15",IF(AND(G17&gt;=200,G17&lt;280),"20-00-10","Sultato de Amônio"))))</f>
        <v>20-00-15</v>
      </c>
      <c r="J20" s="266"/>
      <c r="K20" s="266"/>
      <c r="O20" s="266"/>
      <c r="W20" s="208">
        <v>100</v>
      </c>
      <c r="X20" s="27" t="s">
        <v>654</v>
      </c>
    </row>
    <row r="21" spans="4:24" s="60" customFormat="1" ht="15" customHeight="1" x14ac:dyDescent="0.2">
      <c r="D21" s="266"/>
      <c r="E21" s="266"/>
      <c r="F21" s="266"/>
      <c r="G21" s="266"/>
      <c r="H21" s="266"/>
      <c r="I21" s="279"/>
      <c r="J21" s="266"/>
      <c r="K21" s="266"/>
      <c r="L21" s="266"/>
      <c r="M21" s="266"/>
      <c r="O21" s="49"/>
    </row>
    <row r="22" spans="4:24" ht="15" customHeight="1" x14ac:dyDescent="0.25">
      <c r="D22" s="282" t="s">
        <v>1941</v>
      </c>
      <c r="E22" s="281"/>
      <c r="F22" s="281"/>
      <c r="G22" s="281"/>
      <c r="H22" s="283"/>
      <c r="I22" s="283"/>
      <c r="J22" s="283"/>
      <c r="K22" s="283"/>
      <c r="L22" s="283"/>
      <c r="M22" s="283"/>
    </row>
    <row r="23" spans="4:24" ht="15" customHeight="1" x14ac:dyDescent="0.2">
      <c r="D23" s="170" t="s">
        <v>1703</v>
      </c>
      <c r="G23" s="237">
        <v>20</v>
      </c>
      <c r="H23" s="356" t="s">
        <v>1929</v>
      </c>
      <c r="I23" s="281"/>
      <c r="J23" s="283"/>
      <c r="K23" s="263"/>
      <c r="L23" s="273"/>
      <c r="M23" s="273"/>
    </row>
    <row r="24" spans="4:24" ht="15" customHeight="1" x14ac:dyDescent="0.2">
      <c r="D24" s="281"/>
      <c r="G24" s="5">
        <v>7</v>
      </c>
      <c r="H24" s="356" t="s">
        <v>1934</v>
      </c>
      <c r="I24" s="281"/>
      <c r="J24" s="272"/>
      <c r="K24" s="272"/>
      <c r="L24" s="315"/>
      <c r="M24" s="26"/>
    </row>
    <row r="25" spans="4:24" ht="15" customHeight="1" x14ac:dyDescent="0.2">
      <c r="D25" s="281"/>
      <c r="I25" s="283"/>
      <c r="J25" s="283"/>
      <c r="K25" s="263"/>
      <c r="L25" s="315"/>
      <c r="M25" s="26"/>
    </row>
    <row r="26" spans="4:24" ht="15" customHeight="1" x14ac:dyDescent="0.2">
      <c r="D26" s="273" t="s">
        <v>340</v>
      </c>
      <c r="E26" s="263"/>
      <c r="F26" s="283"/>
      <c r="G26" s="237">
        <v>80</v>
      </c>
      <c r="H26" s="273" t="s">
        <v>341</v>
      </c>
      <c r="I26" s="283"/>
      <c r="J26" s="283"/>
      <c r="K26" s="263"/>
      <c r="L26" s="289"/>
    </row>
    <row r="27" spans="4:24" ht="15" customHeight="1" x14ac:dyDescent="0.2">
      <c r="D27" s="281"/>
      <c r="E27" s="281"/>
      <c r="F27" s="281"/>
      <c r="G27" s="281"/>
      <c r="H27" s="275"/>
      <c r="I27" s="281"/>
      <c r="J27" s="281"/>
      <c r="K27" s="281"/>
      <c r="L27" s="281"/>
      <c r="M27" s="281"/>
    </row>
    <row r="28" spans="4:24" ht="15" customHeight="1" x14ac:dyDescent="0.2">
      <c r="D28" s="273" t="s">
        <v>1708</v>
      </c>
      <c r="E28" s="283"/>
      <c r="G28" s="220">
        <f>IF((G24*(60-G23)/G26)&gt;0,G24*(60-G23)/G26,0)</f>
        <v>3.5</v>
      </c>
      <c r="H28" s="273" t="s">
        <v>242</v>
      </c>
      <c r="I28" s="281"/>
      <c r="J28" s="281"/>
      <c r="K28" s="281"/>
      <c r="L28" s="281"/>
      <c r="M28" s="281"/>
    </row>
    <row r="29" spans="4:24" s="281" customFormat="1" ht="15" customHeight="1" x14ac:dyDescent="0.2">
      <c r="D29" s="275"/>
      <c r="E29" s="283"/>
      <c r="F29" s="220"/>
      <c r="G29" s="280"/>
    </row>
    <row r="30" spans="4:24" ht="15" customHeight="1" x14ac:dyDescent="0.2">
      <c r="D30" s="169"/>
      <c r="I30" s="272"/>
    </row>
    <row r="31" spans="4:24" ht="15" customHeight="1" x14ac:dyDescent="0.2">
      <c r="D31" s="275"/>
      <c r="I31" s="272"/>
    </row>
    <row r="32" spans="4:24" ht="15" customHeight="1" x14ac:dyDescent="0.2">
      <c r="D32" s="275"/>
      <c r="I32" s="272"/>
    </row>
    <row r="33" spans="3:11" s="281" customFormat="1" ht="15" customHeight="1" x14ac:dyDescent="0.2">
      <c r="D33" s="275"/>
      <c r="E33" s="275"/>
    </row>
    <row r="34" spans="3:11" s="281" customFormat="1" ht="15" customHeight="1" x14ac:dyDescent="0.2">
      <c r="D34" s="267"/>
      <c r="E34" s="267"/>
      <c r="F34" s="267"/>
      <c r="G34" s="267"/>
      <c r="H34" s="267"/>
      <c r="I34" s="267"/>
      <c r="J34" s="267"/>
    </row>
    <row r="35" spans="3:11" s="60" customFormat="1" ht="15" customHeight="1" x14ac:dyDescent="0.2">
      <c r="D35" s="267"/>
      <c r="E35" s="267"/>
    </row>
    <row r="36" spans="3:11" s="60" customFormat="1" ht="15" customHeight="1" x14ac:dyDescent="0.2">
      <c r="D36" s="226" t="s">
        <v>891</v>
      </c>
      <c r="E36" s="717">
        <f ca="1">TODAY()</f>
        <v>45064</v>
      </c>
      <c r="F36" s="714"/>
      <c r="G36" s="296" t="s">
        <v>373</v>
      </c>
    </row>
    <row r="37" spans="3:11" s="60" customFormat="1" ht="15" customHeight="1" x14ac:dyDescent="0.2">
      <c r="C37" s="296"/>
      <c r="D37" s="267"/>
      <c r="E37" s="296"/>
      <c r="F37" s="296"/>
      <c r="G37" s="296"/>
      <c r="I37" s="296"/>
      <c r="J37" s="296"/>
      <c r="K37" s="296"/>
    </row>
    <row r="38" spans="3:11" ht="15" hidden="1" customHeight="1" x14ac:dyDescent="0.2">
      <c r="C38" s="27"/>
      <c r="D38" s="275"/>
      <c r="E38" s="27"/>
      <c r="F38" s="27"/>
      <c r="G38" s="27"/>
      <c r="H38" s="27"/>
      <c r="I38" s="27"/>
      <c r="J38" s="27"/>
      <c r="K38" s="27"/>
    </row>
    <row r="39" spans="3:11" ht="15" hidden="1" customHeight="1" x14ac:dyDescent="0.2"/>
    <row r="40" spans="3:11" s="60" customFormat="1" ht="15" hidden="1" customHeight="1" x14ac:dyDescent="0.2">
      <c r="D40" s="267"/>
      <c r="I40" s="33"/>
    </row>
    <row r="41" spans="3:11" s="60" customFormat="1" ht="15" hidden="1" customHeight="1" x14ac:dyDescent="0.2">
      <c r="D41" s="267"/>
      <c r="E41" s="267"/>
    </row>
    <row r="42" spans="3:11" s="60" customFormat="1" ht="15" hidden="1" customHeight="1" x14ac:dyDescent="0.2">
      <c r="D42" s="267"/>
      <c r="E42" s="267"/>
    </row>
    <row r="43" spans="3:11" s="60" customFormat="1" ht="15" hidden="1" customHeight="1" x14ac:dyDescent="0.2">
      <c r="D43" s="267"/>
      <c r="E43" s="267"/>
    </row>
    <row r="44" spans="3:11" s="60" customFormat="1" ht="15" hidden="1" customHeight="1" x14ac:dyDescent="0.2">
      <c r="C44" s="267"/>
      <c r="D44" s="267"/>
    </row>
    <row r="45" spans="3:11" s="60" customFormat="1" ht="15" hidden="1" customHeight="1" x14ac:dyDescent="0.2">
      <c r="C45" s="267"/>
      <c r="D45" s="267"/>
    </row>
    <row r="46" spans="3:11" s="60" customFormat="1" ht="15" hidden="1" customHeight="1" x14ac:dyDescent="0.2">
      <c r="C46" s="267"/>
      <c r="D46" s="267"/>
    </row>
    <row r="47" spans="3:11" s="60" customFormat="1" ht="15" hidden="1" customHeight="1" x14ac:dyDescent="0.2">
      <c r="C47" s="267"/>
      <c r="D47" s="267"/>
    </row>
    <row r="48" spans="3:11" s="60" customFormat="1" ht="15" hidden="1" customHeight="1" x14ac:dyDescent="0.2">
      <c r="C48" s="267"/>
      <c r="D48" s="267"/>
    </row>
    <row r="49" spans="2:3" s="60" customFormat="1" ht="15" hidden="1" customHeight="1" x14ac:dyDescent="0.2">
      <c r="B49" s="267"/>
      <c r="C49" s="267"/>
    </row>
    <row r="50" spans="2:3" s="60" customFormat="1" ht="15" hidden="1" customHeight="1" x14ac:dyDescent="0.2">
      <c r="B50" s="267"/>
      <c r="C50" s="267"/>
    </row>
    <row r="51" spans="2:3" s="60" customFormat="1" ht="15" hidden="1" customHeight="1" x14ac:dyDescent="0.2">
      <c r="B51" s="267"/>
      <c r="C51" s="267"/>
    </row>
    <row r="52" spans="2:3" s="60" customFormat="1" ht="15" hidden="1" customHeight="1" x14ac:dyDescent="0.2">
      <c r="B52" s="267"/>
      <c r="C52" s="267"/>
    </row>
    <row r="53" spans="2:3" s="60" customFormat="1" ht="15" hidden="1" customHeight="1" x14ac:dyDescent="0.2">
      <c r="B53" s="267"/>
      <c r="C53" s="267"/>
    </row>
    <row r="54" spans="2:3" s="60" customFormat="1" ht="15" hidden="1" customHeight="1" x14ac:dyDescent="0.2">
      <c r="B54" s="267"/>
      <c r="C54" s="267"/>
    </row>
    <row r="55" spans="2:3" s="60" customFormat="1" ht="15" hidden="1" customHeight="1" x14ac:dyDescent="0.2">
      <c r="B55" s="267"/>
      <c r="C55" s="267"/>
    </row>
    <row r="56" spans="2:3" s="60" customFormat="1" ht="15" hidden="1" customHeight="1" x14ac:dyDescent="0.2">
      <c r="B56" s="267"/>
      <c r="C56" s="267"/>
    </row>
    <row r="57" spans="2:3" s="60" customFormat="1" ht="15" hidden="1" customHeight="1" x14ac:dyDescent="0.2">
      <c r="B57" s="267"/>
      <c r="C57" s="267"/>
    </row>
    <row r="58" spans="2:3" s="60" customFormat="1" ht="15" hidden="1" customHeight="1" x14ac:dyDescent="0.2">
      <c r="B58" s="267"/>
      <c r="C58" s="267"/>
    </row>
    <row r="59" spans="2:3" s="60" customFormat="1" ht="15" hidden="1" customHeight="1" x14ac:dyDescent="0.2">
      <c r="B59" s="267"/>
      <c r="C59" s="267"/>
    </row>
    <row r="60" spans="2:3" s="60" customFormat="1" ht="15" hidden="1" customHeight="1" x14ac:dyDescent="0.2">
      <c r="B60" s="267"/>
      <c r="C60" s="267"/>
    </row>
    <row r="61" spans="2:3" s="60" customFormat="1" ht="15" hidden="1" customHeight="1" x14ac:dyDescent="0.2">
      <c r="B61" s="267"/>
      <c r="C61" s="267"/>
    </row>
    <row r="62" spans="2:3" s="60" customFormat="1" ht="15" hidden="1" customHeight="1" x14ac:dyDescent="0.2">
      <c r="B62" s="267"/>
      <c r="C62" s="267"/>
    </row>
    <row r="63" spans="2:3" s="60" customFormat="1" ht="15" hidden="1" customHeight="1" x14ac:dyDescent="0.2">
      <c r="B63" s="267"/>
      <c r="C63" s="267"/>
    </row>
    <row r="64" spans="2:3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</sheetData>
  <sheetProtection algorithmName="SHA-512" hashValue="QVNSLJmeg14kA4MTz2wVdY/mzrmxN654htOF/nnB4G2XRMVqx00MTZNKvdj2bf5Gsl7JLunR0q9yixA/Ma0Z+w==" saltValue="YkG8iSmqdv4jPr/8I7ZLzQ==" spinCount="100000" sheet="1" objects="1" scenarios="1" selectLockedCells="1"/>
  <mergeCells count="3">
    <mergeCell ref="C6:N6"/>
    <mergeCell ref="E36:F36"/>
    <mergeCell ref="E8:M8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scale="80" orientation="portrait" cellComments="atEnd" horizontalDpi="360" verticalDpi="36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6">
    <pageSetUpPr fitToPage="1"/>
  </sheetPr>
  <dimension ref="A1:X72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24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4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4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4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4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4" ht="24.95" customHeight="1" x14ac:dyDescent="0.2">
      <c r="C6" s="699" t="s">
        <v>2223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4" ht="1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24" ht="15" customHeight="1" x14ac:dyDescent="0.2">
      <c r="C8" s="27"/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4" ht="15" customHeight="1" x14ac:dyDescent="0.2"/>
    <row r="10" spans="1:24" s="60" customFormat="1" ht="15" customHeight="1" x14ac:dyDescent="0.25">
      <c r="D10" s="164" t="s">
        <v>1951</v>
      </c>
      <c r="E10" s="34"/>
      <c r="F10" s="266"/>
      <c r="G10" s="266"/>
      <c r="H10" s="266"/>
      <c r="I10" s="266"/>
      <c r="J10" s="266"/>
      <c r="K10" s="266"/>
      <c r="L10" s="266"/>
      <c r="M10" s="266"/>
    </row>
    <row r="11" spans="1:24" s="60" customFormat="1" ht="15" customHeight="1" x14ac:dyDescent="0.2">
      <c r="D11" s="49" t="s">
        <v>1703</v>
      </c>
      <c r="G11" s="237">
        <v>8</v>
      </c>
      <c r="H11" s="356" t="s">
        <v>1953</v>
      </c>
      <c r="K11" s="266"/>
    </row>
    <row r="12" spans="1:24" s="60" customFormat="1" ht="15" customHeight="1" x14ac:dyDescent="0.2">
      <c r="D12" s="266"/>
      <c r="G12" s="237">
        <v>150</v>
      </c>
      <c r="H12" s="356" t="s">
        <v>1933</v>
      </c>
      <c r="K12" s="266"/>
    </row>
    <row r="13" spans="1:24" s="60" customFormat="1" ht="15" customHeight="1" x14ac:dyDescent="0.2">
      <c r="D13" s="266"/>
      <c r="E13" s="266"/>
      <c r="F13" s="266"/>
      <c r="G13" s="266"/>
      <c r="H13" s="266"/>
      <c r="I13" s="266"/>
      <c r="J13" s="266"/>
      <c r="K13" s="266"/>
    </row>
    <row r="14" spans="1:24" s="60" customFormat="1" ht="15" customHeight="1" x14ac:dyDescent="0.2">
      <c r="F14" s="316" t="s">
        <v>2222</v>
      </c>
      <c r="G14" s="224">
        <f>W14*5</f>
        <v>750</v>
      </c>
      <c r="H14" s="272" t="s">
        <v>558</v>
      </c>
      <c r="I14" s="169" t="s">
        <v>1140</v>
      </c>
      <c r="J14" s="266"/>
      <c r="K14" s="266"/>
      <c r="W14" s="279" t="str">
        <f>IF(G11&lt;10,"150",IF(AND(G11&gt;=10,G11&lt;20),"100",IF(AND(G11&gt;=20,G11&lt;50),"80",0)))</f>
        <v>150</v>
      </c>
      <c r="X14" s="27" t="s">
        <v>653</v>
      </c>
    </row>
    <row r="15" spans="1:24" s="60" customFormat="1" ht="15" customHeight="1" x14ac:dyDescent="0.2">
      <c r="F15" s="226" t="s">
        <v>1139</v>
      </c>
      <c r="G15" s="276">
        <f>(W15*5)/3</f>
        <v>333.33333333333331</v>
      </c>
      <c r="H15" s="272" t="s">
        <v>558</v>
      </c>
      <c r="I15" s="277" t="str">
        <f>IF(G12&lt;60,"20-00-30",IF(AND(G12&gt;=60,G12&lt;120),"20-00-20",IF(AND(G12&gt;=120,G12&lt;200),"20-00-15",IF(AND(G12&gt;=200,G12&lt;280),"20-00-10","Sultato de Amônio"))))</f>
        <v>20-00-15</v>
      </c>
      <c r="J15" s="266"/>
      <c r="K15" s="266"/>
      <c r="W15" s="208">
        <v>200</v>
      </c>
      <c r="X15" s="27" t="s">
        <v>654</v>
      </c>
    </row>
    <row r="16" spans="1:24" s="60" customFormat="1" ht="15" customHeight="1" x14ac:dyDescent="0.2">
      <c r="D16" s="266"/>
      <c r="E16" s="266"/>
      <c r="F16" s="266"/>
      <c r="G16" s="266"/>
      <c r="H16" s="266"/>
      <c r="I16" s="279"/>
      <c r="J16" s="266"/>
      <c r="K16" s="266"/>
    </row>
    <row r="17" spans="2:24" s="60" customFormat="1" ht="15" customHeight="1" x14ac:dyDescent="0.25">
      <c r="D17" s="164" t="s">
        <v>1057</v>
      </c>
      <c r="E17" s="34"/>
      <c r="F17" s="266"/>
      <c r="G17" s="266"/>
      <c r="H17" s="263"/>
      <c r="I17" s="263"/>
      <c r="J17" s="27"/>
      <c r="K17" s="27"/>
      <c r="U17" s="27"/>
      <c r="V17" s="266"/>
    </row>
    <row r="18" spans="2:24" s="60" customFormat="1" ht="15" customHeight="1" x14ac:dyDescent="0.2">
      <c r="D18" s="49" t="s">
        <v>1703</v>
      </c>
      <c r="E18" s="266"/>
      <c r="F18" s="266"/>
      <c r="G18" s="237">
        <v>5</v>
      </c>
      <c r="H18" s="356" t="s">
        <v>1953</v>
      </c>
      <c r="I18" s="263"/>
      <c r="J18" s="27"/>
      <c r="K18" s="27"/>
      <c r="U18" s="27"/>
      <c r="V18" s="266"/>
    </row>
    <row r="19" spans="2:24" s="60" customFormat="1" ht="15" customHeight="1" x14ac:dyDescent="0.2">
      <c r="D19" s="266"/>
      <c r="G19" s="237">
        <v>150</v>
      </c>
      <c r="H19" s="356" t="s">
        <v>1933</v>
      </c>
      <c r="I19" s="266"/>
      <c r="J19" s="266"/>
      <c r="K19" s="266"/>
      <c r="U19" s="266"/>
      <c r="V19" s="266"/>
    </row>
    <row r="20" spans="2:24" s="60" customFormat="1" ht="15" customHeight="1" x14ac:dyDescent="0.2">
      <c r="D20" s="266"/>
      <c r="G20" s="271"/>
      <c r="H20" s="266"/>
      <c r="I20" s="266"/>
      <c r="J20" s="266"/>
      <c r="K20" s="266"/>
      <c r="U20" s="266"/>
      <c r="V20" s="266"/>
    </row>
    <row r="21" spans="2:24" s="60" customFormat="1" ht="15" customHeight="1" x14ac:dyDescent="0.2">
      <c r="D21" s="266"/>
      <c r="E21" s="266"/>
      <c r="F21" s="316" t="s">
        <v>2222</v>
      </c>
      <c r="G21" s="224">
        <f>W21*5</f>
        <v>1000</v>
      </c>
      <c r="H21" s="272" t="s">
        <v>558</v>
      </c>
      <c r="I21" s="169" t="s">
        <v>1140</v>
      </c>
      <c r="J21" s="266"/>
      <c r="K21" s="266"/>
      <c r="U21" s="266"/>
      <c r="V21" s="266"/>
      <c r="W21" s="279" t="str">
        <f>IF(G18&lt;10,"200",IF(AND(G18&gt;=10,G18&lt;20),"150",IF(AND(G18&gt;=20,G18&lt;50),"100",0)))</f>
        <v>200</v>
      </c>
      <c r="X21" s="27" t="s">
        <v>653</v>
      </c>
    </row>
    <row r="22" spans="2:24" s="60" customFormat="1" ht="15" customHeight="1" x14ac:dyDescent="0.2">
      <c r="D22" s="266"/>
      <c r="F22" s="226" t="s">
        <v>1139</v>
      </c>
      <c r="G22" s="276">
        <f>((W22*100)/20)/3</f>
        <v>500</v>
      </c>
      <c r="H22" s="272" t="s">
        <v>558</v>
      </c>
      <c r="I22" s="277" t="str">
        <f>IF(G19&lt;60,"20-00-30",IF(AND(G19&gt;=60,G19&lt;120),"20-00-20",IF(AND(G19&gt;=120,G19&lt;200),"20-00-15",IF(AND(G19&gt;=200,G19&lt;280),"20-00-10","Sultato de Amônio"))))</f>
        <v>20-00-15</v>
      </c>
      <c r="J22" s="266"/>
      <c r="K22" s="266"/>
      <c r="W22" s="208">
        <v>300</v>
      </c>
      <c r="X22" s="27" t="s">
        <v>654</v>
      </c>
    </row>
    <row r="23" spans="2:24" s="60" customFormat="1" ht="15" customHeight="1" x14ac:dyDescent="0.2">
      <c r="D23" s="275"/>
      <c r="H23" s="266"/>
      <c r="I23" s="266"/>
      <c r="J23" s="266"/>
      <c r="K23" s="266"/>
    </row>
    <row r="24" spans="2:24" ht="15" customHeight="1" x14ac:dyDescent="0.25">
      <c r="D24" s="282" t="s">
        <v>1941</v>
      </c>
      <c r="E24" s="281"/>
      <c r="F24" s="281"/>
      <c r="G24" s="281"/>
      <c r="H24" s="283"/>
      <c r="I24" s="283"/>
      <c r="J24" s="283"/>
      <c r="K24" s="283"/>
      <c r="U24" s="283"/>
      <c r="V24" s="283"/>
    </row>
    <row r="25" spans="2:24" ht="15" customHeight="1" x14ac:dyDescent="0.2">
      <c r="D25" s="170" t="s">
        <v>1703</v>
      </c>
      <c r="G25" s="237">
        <v>20</v>
      </c>
      <c r="H25" s="356" t="s">
        <v>1929</v>
      </c>
      <c r="I25" s="281"/>
      <c r="J25" s="283"/>
      <c r="K25" s="263"/>
    </row>
    <row r="26" spans="2:24" ht="15" customHeight="1" x14ac:dyDescent="0.2">
      <c r="D26" s="281"/>
      <c r="G26" s="5">
        <v>7</v>
      </c>
      <c r="H26" s="356" t="s">
        <v>1934</v>
      </c>
      <c r="I26" s="281"/>
      <c r="J26" s="272"/>
      <c r="K26" s="272"/>
    </row>
    <row r="27" spans="2:24" ht="15" customHeight="1" x14ac:dyDescent="0.2">
      <c r="D27" s="281"/>
      <c r="I27" s="283"/>
      <c r="J27" s="283"/>
      <c r="K27" s="263"/>
    </row>
    <row r="28" spans="2:24" ht="15" customHeight="1" x14ac:dyDescent="0.2">
      <c r="D28" s="273" t="s">
        <v>340</v>
      </c>
      <c r="E28" s="263"/>
      <c r="F28" s="283"/>
      <c r="G28" s="237">
        <v>80</v>
      </c>
      <c r="H28" s="273" t="s">
        <v>341</v>
      </c>
      <c r="I28" s="283"/>
      <c r="J28" s="283"/>
      <c r="K28" s="263"/>
    </row>
    <row r="29" spans="2:24" ht="15" customHeight="1" x14ac:dyDescent="0.2">
      <c r="D29" s="281"/>
      <c r="E29" s="281"/>
      <c r="F29" s="281"/>
      <c r="G29" s="281"/>
      <c r="H29" s="275"/>
      <c r="I29" s="281"/>
      <c r="J29" s="281"/>
      <c r="K29" s="281"/>
    </row>
    <row r="30" spans="2:24" ht="15" customHeight="1" x14ac:dyDescent="0.2">
      <c r="D30" s="273" t="s">
        <v>1708</v>
      </c>
      <c r="E30" s="283"/>
      <c r="G30" s="220">
        <f>IF((G26*(60-G25)/G28)&gt;0,G26*(60-G25)/G28,0)</f>
        <v>3.5</v>
      </c>
      <c r="H30" s="273" t="s">
        <v>242</v>
      </c>
      <c r="I30" s="281"/>
      <c r="J30" s="281"/>
      <c r="K30" s="281"/>
    </row>
    <row r="31" spans="2:24" s="281" customFormat="1" ht="15" customHeight="1" x14ac:dyDescent="0.2">
      <c r="D31" s="275"/>
      <c r="E31" s="283"/>
      <c r="F31" s="220"/>
      <c r="G31" s="280"/>
    </row>
    <row r="32" spans="2:24" s="60" customFormat="1" ht="15" customHeight="1" x14ac:dyDescent="0.2">
      <c r="B32" s="267"/>
      <c r="C32" s="267"/>
    </row>
    <row r="33" spans="2:7" s="60" customFormat="1" ht="15" customHeight="1" x14ac:dyDescent="0.2">
      <c r="B33" s="267"/>
      <c r="C33" s="267"/>
    </row>
    <row r="34" spans="2:7" s="60" customFormat="1" ht="15" customHeight="1" x14ac:dyDescent="0.2">
      <c r="B34" s="267"/>
      <c r="C34" s="267"/>
    </row>
    <row r="35" spans="2:7" s="60" customFormat="1" ht="15" customHeight="1" x14ac:dyDescent="0.2">
      <c r="B35" s="267"/>
      <c r="C35" s="267"/>
    </row>
    <row r="36" spans="2:7" s="60" customFormat="1" ht="15" customHeight="1" x14ac:dyDescent="0.2">
      <c r="B36" s="267"/>
      <c r="C36" s="267"/>
    </row>
    <row r="37" spans="2:7" s="60" customFormat="1" ht="15" customHeight="1" x14ac:dyDescent="0.2">
      <c r="B37" s="267"/>
      <c r="C37" s="267"/>
    </row>
    <row r="38" spans="2:7" s="60" customFormat="1" ht="15" customHeight="1" x14ac:dyDescent="0.2">
      <c r="B38" s="267"/>
      <c r="C38" s="267"/>
      <c r="D38" s="226" t="s">
        <v>891</v>
      </c>
      <c r="E38" s="717">
        <f ca="1">TODAY()</f>
        <v>45064</v>
      </c>
      <c r="F38" s="714"/>
      <c r="G38" s="296" t="s">
        <v>373</v>
      </c>
    </row>
    <row r="39" spans="2:7" s="60" customFormat="1" ht="15" customHeight="1" x14ac:dyDescent="0.2">
      <c r="B39" s="267"/>
      <c r="C39" s="267"/>
    </row>
    <row r="40" spans="2:7" s="60" customFormat="1" ht="15" hidden="1" customHeight="1" x14ac:dyDescent="0.2">
      <c r="B40" s="267"/>
      <c r="C40" s="267"/>
    </row>
    <row r="41" spans="2:7" s="60" customFormat="1" ht="15" hidden="1" customHeight="1" x14ac:dyDescent="0.2">
      <c r="B41" s="267"/>
      <c r="C41" s="267"/>
    </row>
    <row r="42" spans="2:7" s="60" customFormat="1" ht="15" hidden="1" customHeight="1" x14ac:dyDescent="0.2">
      <c r="B42" s="267"/>
      <c r="C42" s="267"/>
    </row>
    <row r="43" spans="2:7" s="60" customFormat="1" ht="15" hidden="1" customHeight="1" x14ac:dyDescent="0.2">
      <c r="B43" s="267"/>
      <c r="C43" s="267"/>
    </row>
    <row r="44" spans="2:7" s="60" customFormat="1" ht="15" hidden="1" customHeight="1" x14ac:dyDescent="0.2">
      <c r="B44" s="267"/>
      <c r="C44" s="267"/>
    </row>
    <row r="45" spans="2:7" s="60" customFormat="1" ht="15" hidden="1" customHeight="1" x14ac:dyDescent="0.2">
      <c r="B45" s="267"/>
      <c r="C45" s="267"/>
    </row>
    <row r="46" spans="2:7" s="60" customFormat="1" ht="15" hidden="1" customHeight="1" x14ac:dyDescent="0.2">
      <c r="B46" s="267"/>
      <c r="C46" s="267"/>
    </row>
    <row r="47" spans="2:7" s="60" customFormat="1" ht="15" hidden="1" customHeight="1" x14ac:dyDescent="0.2">
      <c r="B47" s="267"/>
      <c r="C47" s="267"/>
    </row>
    <row r="48" spans="2:7" s="60" customFormat="1" ht="15" hidden="1" customHeight="1" x14ac:dyDescent="0.2">
      <c r="B48" s="267"/>
      <c r="C48" s="267"/>
    </row>
    <row r="49" spans="2:3" s="60" customFormat="1" ht="15" hidden="1" customHeight="1" x14ac:dyDescent="0.2">
      <c r="B49" s="267"/>
      <c r="C49" s="267"/>
    </row>
    <row r="50" spans="2:3" ht="15" hidden="1" customHeight="1" x14ac:dyDescent="0.2"/>
    <row r="51" spans="2:3" ht="15" hidden="1" customHeight="1" x14ac:dyDescent="0.2"/>
    <row r="52" spans="2:3" ht="15" hidden="1" customHeight="1" x14ac:dyDescent="0.2"/>
    <row r="53" spans="2:3" ht="15" hidden="1" customHeight="1" x14ac:dyDescent="0.2"/>
    <row r="54" spans="2:3" ht="15" hidden="1" customHeight="1" x14ac:dyDescent="0.2"/>
    <row r="55" spans="2:3" ht="15" hidden="1" customHeight="1" x14ac:dyDescent="0.2"/>
    <row r="56" spans="2:3" ht="15" hidden="1" customHeight="1" x14ac:dyDescent="0.2"/>
    <row r="57" spans="2:3" ht="15" hidden="1" customHeight="1" x14ac:dyDescent="0.2"/>
    <row r="58" spans="2:3" ht="15" hidden="1" customHeight="1" x14ac:dyDescent="0.2"/>
    <row r="59" spans="2:3" ht="15" hidden="1" customHeight="1" x14ac:dyDescent="0.2"/>
    <row r="60" spans="2:3" ht="15" hidden="1" customHeight="1" x14ac:dyDescent="0.2"/>
    <row r="61" spans="2:3" ht="15" hidden="1" customHeight="1" x14ac:dyDescent="0.2"/>
    <row r="62" spans="2:3" ht="15" hidden="1" customHeight="1" x14ac:dyDescent="0.2"/>
    <row r="63" spans="2:3" ht="15" hidden="1" customHeight="1" x14ac:dyDescent="0.2"/>
    <row r="64" spans="2:3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</sheetData>
  <sheetProtection algorithmName="SHA-512" hashValue="rXt/Cpf1B21rQsjVbCIQn8YyNeYCDsZksaiHG2CmwxnmfR8l0rU2EXhxKxfJJ0Bw+X+qKV/OjrCUqB8AHGqzWg==" saltValue="0jnL1fHpazTIIcyIRLH38g==" spinCount="100000" sheet="1" objects="1" scenarios="1" selectLockedCells="1"/>
  <mergeCells count="3">
    <mergeCell ref="E38:F38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7">
    <pageSetUpPr fitToPage="1"/>
  </sheetPr>
  <dimension ref="A1:X81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4" width="0" style="266" hidden="1" customWidth="1"/>
    <col min="25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2224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C7" s="27"/>
      <c r="D7" s="27"/>
      <c r="E7" s="27"/>
      <c r="F7" s="27"/>
      <c r="G7" s="27"/>
      <c r="H7" s="27"/>
      <c r="I7" s="27"/>
      <c r="J7" s="27"/>
      <c r="K7" s="27"/>
    </row>
    <row r="8" spans="1:16" ht="15" customHeight="1" x14ac:dyDescent="0.2">
      <c r="D8" s="227" t="s">
        <v>893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>
      <c r="D10" s="266" t="s">
        <v>671</v>
      </c>
      <c r="G10" s="237">
        <v>6</v>
      </c>
      <c r="H10" s="298" t="s">
        <v>2070</v>
      </c>
      <c r="I10" s="237">
        <v>6</v>
      </c>
      <c r="J10" s="298" t="s">
        <v>2069</v>
      </c>
      <c r="K10" s="310">
        <f>10000/(G10*I10)</f>
        <v>277.77777777777777</v>
      </c>
      <c r="L10" s="281" t="s">
        <v>353</v>
      </c>
    </row>
    <row r="11" spans="1:16" ht="15" customHeight="1" x14ac:dyDescent="0.2">
      <c r="D11" s="266" t="s">
        <v>655</v>
      </c>
      <c r="E11" s="60"/>
      <c r="G11" s="237">
        <v>15</v>
      </c>
      <c r="H11" s="266" t="s">
        <v>349</v>
      </c>
    </row>
    <row r="12" spans="1:16" s="60" customFormat="1" ht="15" customHeight="1" x14ac:dyDescent="0.2">
      <c r="D12" s="266"/>
      <c r="E12" s="266"/>
      <c r="F12" s="266"/>
      <c r="G12" s="266"/>
      <c r="H12" s="263"/>
      <c r="I12" s="263"/>
      <c r="J12" s="27"/>
      <c r="K12" s="27"/>
      <c r="L12" s="27"/>
      <c r="M12" s="266"/>
    </row>
    <row r="13" spans="1:16" s="60" customFormat="1" ht="15" customHeight="1" x14ac:dyDescent="0.2">
      <c r="D13" s="49" t="s">
        <v>1703</v>
      </c>
      <c r="G13" s="237">
        <v>6</v>
      </c>
      <c r="H13" s="266" t="s">
        <v>824</v>
      </c>
      <c r="I13" s="266"/>
      <c r="J13" s="266"/>
      <c r="K13" s="266"/>
      <c r="L13" s="266"/>
      <c r="M13" s="266"/>
    </row>
    <row r="14" spans="1:16" s="60" customFormat="1" ht="15" customHeight="1" x14ac:dyDescent="0.2">
      <c r="D14" s="266"/>
      <c r="G14" s="237">
        <v>150</v>
      </c>
      <c r="H14" s="266" t="s">
        <v>825</v>
      </c>
      <c r="I14" s="266"/>
      <c r="J14" s="266"/>
      <c r="K14" s="266"/>
      <c r="L14" s="266"/>
      <c r="M14" s="266"/>
    </row>
    <row r="15" spans="1:16" s="60" customFormat="1" ht="15" customHeight="1" x14ac:dyDescent="0.2">
      <c r="D15" s="266"/>
      <c r="E15" s="263"/>
      <c r="F15" s="266"/>
      <c r="G15" s="237">
        <v>20</v>
      </c>
      <c r="H15" s="283" t="s">
        <v>117</v>
      </c>
      <c r="I15" s="266"/>
      <c r="J15" s="266"/>
      <c r="K15" s="266"/>
      <c r="L15" s="266"/>
      <c r="M15" s="266"/>
    </row>
    <row r="16" spans="1:16" s="60" customFormat="1" ht="15" customHeight="1" x14ac:dyDescent="0.2">
      <c r="G16" s="5">
        <v>6.7</v>
      </c>
      <c r="H16" s="275" t="s">
        <v>1344</v>
      </c>
      <c r="I16" s="266"/>
      <c r="J16" s="266"/>
      <c r="K16" s="266"/>
      <c r="L16" s="266"/>
      <c r="M16" s="266"/>
    </row>
    <row r="17" spans="4:24" s="60" customFormat="1" ht="15" customHeight="1" x14ac:dyDescent="0.2">
      <c r="D17" s="266"/>
      <c r="E17" s="263"/>
      <c r="F17" s="266"/>
      <c r="G17" s="271"/>
      <c r="H17" s="266"/>
      <c r="I17" s="266"/>
      <c r="J17" s="266"/>
      <c r="K17" s="266"/>
      <c r="L17" s="266"/>
      <c r="M17" s="266"/>
    </row>
    <row r="18" spans="4:24" s="60" customFormat="1" ht="15" customHeight="1" x14ac:dyDescent="0.2">
      <c r="D18" s="273" t="s">
        <v>340</v>
      </c>
      <c r="E18" s="263"/>
      <c r="F18" s="266"/>
      <c r="G18" s="237">
        <v>80</v>
      </c>
      <c r="H18" s="664" t="s">
        <v>341</v>
      </c>
      <c r="I18" s="266"/>
      <c r="J18" s="266"/>
      <c r="K18" s="266"/>
      <c r="L18" s="266"/>
      <c r="M18" s="266"/>
    </row>
    <row r="19" spans="4:24" s="60" customFormat="1" ht="15" customHeight="1" x14ac:dyDescent="0.2">
      <c r="E19" s="266"/>
      <c r="F19" s="266"/>
      <c r="G19" s="266"/>
      <c r="H19" s="266"/>
      <c r="I19" s="266"/>
      <c r="J19" s="266"/>
      <c r="K19" s="266"/>
      <c r="L19" s="266"/>
      <c r="M19" s="266"/>
    </row>
    <row r="20" spans="4:24" s="60" customFormat="1" ht="15" customHeight="1" x14ac:dyDescent="0.25">
      <c r="D20" s="164" t="s">
        <v>350</v>
      </c>
      <c r="E20" s="266"/>
      <c r="F20" s="266"/>
      <c r="G20" s="266"/>
      <c r="H20" s="266"/>
      <c r="I20" s="266"/>
      <c r="J20" s="266"/>
      <c r="K20" s="266"/>
      <c r="L20" s="266"/>
      <c r="M20" s="266"/>
    </row>
    <row r="21" spans="4:24" s="60" customFormat="1" ht="15" customHeight="1" x14ac:dyDescent="0.2">
      <c r="D21" s="277" t="s">
        <v>573</v>
      </c>
      <c r="E21" s="266"/>
      <c r="F21" s="266"/>
      <c r="G21" s="266"/>
      <c r="H21" s="266"/>
      <c r="I21" s="266"/>
      <c r="J21" s="266"/>
      <c r="K21" s="266"/>
      <c r="L21" s="266"/>
      <c r="M21" s="266"/>
    </row>
    <row r="22" spans="4:24" s="60" customFormat="1" ht="15" customHeight="1" x14ac:dyDescent="0.2">
      <c r="D22" s="273" t="s">
        <v>1708</v>
      </c>
      <c r="E22" s="266"/>
      <c r="F22" s="266"/>
      <c r="G22" s="220">
        <f>IF((G16*(60-G15)/G18)&gt;0,G16*(60-G15)/G18,0)</f>
        <v>3.35</v>
      </c>
      <c r="H22" s="280" t="s">
        <v>242</v>
      </c>
      <c r="I22" s="266"/>
      <c r="J22" s="266"/>
      <c r="K22" s="266"/>
      <c r="L22" s="266"/>
      <c r="M22" s="266"/>
    </row>
    <row r="23" spans="4:24" s="60" customFormat="1" ht="15" customHeight="1" x14ac:dyDescent="0.25">
      <c r="D23" s="164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4:24" ht="15" customHeight="1" x14ac:dyDescent="0.2">
      <c r="D24" s="169" t="s">
        <v>2062</v>
      </c>
      <c r="W24" s="279" t="str">
        <f>IF(G13&lt;10,"100",IF(AND(G13&gt;=10,G13&lt;20),"80",IF(AND(G13&gt;=20,G13&lt;50),"40",0)))</f>
        <v>100</v>
      </c>
      <c r="X24" s="27" t="s">
        <v>651</v>
      </c>
    </row>
    <row r="25" spans="4:24" ht="15" customHeight="1" x14ac:dyDescent="0.2">
      <c r="D25" s="275"/>
      <c r="F25" s="316" t="s">
        <v>2222</v>
      </c>
      <c r="G25" s="224">
        <f>1000*((W24*5)/K10)</f>
        <v>1800</v>
      </c>
      <c r="H25" s="280" t="s">
        <v>927</v>
      </c>
      <c r="I25" s="169" t="s">
        <v>1140</v>
      </c>
      <c r="W25" s="208">
        <f>IF(G11&lt;10,90,IF(AND(G11&gt;=10,G11&lt;20),140,180))</f>
        <v>140</v>
      </c>
      <c r="X25" s="27" t="s">
        <v>652</v>
      </c>
    </row>
    <row r="26" spans="4:24" ht="15" customHeight="1" x14ac:dyDescent="0.2">
      <c r="F26" s="226" t="s">
        <v>1139</v>
      </c>
      <c r="G26" s="276">
        <f>1000*((W25*5)/K10)/3</f>
        <v>840</v>
      </c>
      <c r="H26" s="280" t="s">
        <v>927</v>
      </c>
      <c r="I26" s="277" t="str">
        <f>IF(G14&lt;60,"20-00-30",IF(AND(G14&gt;=60,G14&lt;120),"20-00-20",IF(AND(G14&gt;=120,G14&lt;200),"20-00-15",IF(AND(G14&gt;=200,G14&lt;280),"20-00-10","Sultato de Amônio"))))</f>
        <v>20-00-15</v>
      </c>
    </row>
    <row r="27" spans="4:24" ht="15" customHeight="1" x14ac:dyDescent="0.2">
      <c r="E27" s="281"/>
      <c r="F27" s="281"/>
      <c r="G27" s="281"/>
      <c r="H27" s="283"/>
      <c r="I27" s="283"/>
      <c r="J27" s="283"/>
      <c r="K27" s="283"/>
      <c r="L27" s="283"/>
      <c r="M27" s="283"/>
    </row>
    <row r="28" spans="4:24" ht="15" customHeight="1" x14ac:dyDescent="0.2"/>
    <row r="29" spans="4:24" ht="15" customHeight="1" x14ac:dyDescent="0.2"/>
    <row r="30" spans="4:24" ht="15" customHeight="1" x14ac:dyDescent="0.2"/>
    <row r="31" spans="4:24" s="281" customFormat="1" ht="15" customHeight="1" x14ac:dyDescent="0.2"/>
    <row r="32" spans="4:24" s="281" customFormat="1" ht="15" customHeight="1" x14ac:dyDescent="0.2"/>
    <row r="33" spans="2:7" s="60" customFormat="1" ht="15" customHeight="1" x14ac:dyDescent="0.2"/>
    <row r="34" spans="2:7" s="60" customFormat="1" ht="15" customHeight="1" x14ac:dyDescent="0.2"/>
    <row r="35" spans="2:7" s="60" customFormat="1" ht="15" customHeight="1" x14ac:dyDescent="0.2">
      <c r="D35" s="226" t="s">
        <v>891</v>
      </c>
      <c r="E35" s="717">
        <f ca="1">TODAY()</f>
        <v>45064</v>
      </c>
      <c r="F35" s="714"/>
      <c r="G35" s="296" t="s">
        <v>373</v>
      </c>
    </row>
    <row r="36" spans="2:7" s="60" customFormat="1" ht="15" customHeight="1" x14ac:dyDescent="0.2">
      <c r="D36" s="267"/>
      <c r="E36" s="267"/>
    </row>
    <row r="37" spans="2:7" s="60" customFormat="1" ht="15" hidden="1" customHeight="1" x14ac:dyDescent="0.2">
      <c r="D37" s="267"/>
      <c r="E37" s="267"/>
    </row>
    <row r="38" spans="2:7" s="60" customFormat="1" ht="15" hidden="1" customHeight="1" x14ac:dyDescent="0.2">
      <c r="B38" s="267"/>
      <c r="C38" s="267"/>
    </row>
    <row r="39" spans="2:7" s="60" customFormat="1" ht="15" hidden="1" customHeight="1" x14ac:dyDescent="0.2">
      <c r="B39" s="267"/>
      <c r="C39" s="267"/>
    </row>
    <row r="40" spans="2:7" s="60" customFormat="1" ht="15" hidden="1" customHeight="1" x14ac:dyDescent="0.2">
      <c r="B40" s="267"/>
      <c r="C40" s="267"/>
    </row>
    <row r="41" spans="2:7" s="60" customFormat="1" ht="15" hidden="1" customHeight="1" x14ac:dyDescent="0.2">
      <c r="B41" s="267"/>
      <c r="C41" s="267"/>
    </row>
    <row r="42" spans="2:7" s="60" customFormat="1" ht="15" hidden="1" customHeight="1" x14ac:dyDescent="0.2">
      <c r="B42" s="267"/>
      <c r="C42" s="267"/>
    </row>
    <row r="43" spans="2:7" s="60" customFormat="1" ht="15" hidden="1" customHeight="1" x14ac:dyDescent="0.2">
      <c r="B43" s="267"/>
      <c r="C43" s="267"/>
    </row>
    <row r="44" spans="2:7" s="60" customFormat="1" ht="15" hidden="1" customHeight="1" x14ac:dyDescent="0.2">
      <c r="B44" s="267"/>
      <c r="C44" s="267"/>
    </row>
    <row r="45" spans="2:7" s="60" customFormat="1" ht="15" hidden="1" customHeight="1" x14ac:dyDescent="0.2">
      <c r="B45" s="267"/>
      <c r="C45" s="267"/>
    </row>
    <row r="46" spans="2:7" s="60" customFormat="1" ht="15" hidden="1" customHeight="1" x14ac:dyDescent="0.2">
      <c r="B46" s="267"/>
      <c r="C46" s="267"/>
    </row>
    <row r="47" spans="2:7" s="60" customFormat="1" ht="15" hidden="1" customHeight="1" x14ac:dyDescent="0.2">
      <c r="B47" s="267"/>
      <c r="C47" s="267"/>
    </row>
    <row r="48" spans="2:7" s="60" customFormat="1" ht="15" hidden="1" customHeight="1" x14ac:dyDescent="0.2">
      <c r="B48" s="267"/>
      <c r="C48" s="267"/>
    </row>
    <row r="49" spans="2:3" s="60" customFormat="1" ht="15" hidden="1" customHeight="1" x14ac:dyDescent="0.2">
      <c r="B49" s="267"/>
      <c r="C49" s="267"/>
    </row>
    <row r="50" spans="2:3" s="60" customFormat="1" ht="15" hidden="1" customHeight="1" x14ac:dyDescent="0.2">
      <c r="B50" s="267"/>
      <c r="C50" s="267"/>
    </row>
    <row r="51" spans="2:3" s="60" customFormat="1" ht="15" hidden="1" customHeight="1" x14ac:dyDescent="0.2">
      <c r="B51" s="267"/>
      <c r="C51" s="267"/>
    </row>
    <row r="52" spans="2:3" s="60" customFormat="1" ht="15" hidden="1" customHeight="1" x14ac:dyDescent="0.2">
      <c r="B52" s="267"/>
      <c r="C52" s="267"/>
    </row>
    <row r="53" spans="2:3" s="60" customFormat="1" ht="15" hidden="1" customHeight="1" x14ac:dyDescent="0.2">
      <c r="B53" s="267"/>
      <c r="C53" s="267"/>
    </row>
    <row r="54" spans="2:3" s="60" customFormat="1" ht="15" hidden="1" customHeight="1" x14ac:dyDescent="0.2">
      <c r="B54" s="267"/>
      <c r="C54" s="267"/>
    </row>
    <row r="55" spans="2:3" s="60" customFormat="1" ht="15" hidden="1" customHeight="1" x14ac:dyDescent="0.2">
      <c r="B55" s="267"/>
      <c r="C55" s="267"/>
    </row>
    <row r="56" spans="2:3" ht="15" hidden="1" customHeight="1" x14ac:dyDescent="0.2"/>
    <row r="57" spans="2:3" ht="15" hidden="1" customHeight="1" x14ac:dyDescent="0.2"/>
    <row r="58" spans="2:3" ht="15" hidden="1" customHeight="1" x14ac:dyDescent="0.2"/>
    <row r="59" spans="2:3" ht="15" hidden="1" customHeight="1" x14ac:dyDescent="0.2"/>
    <row r="60" spans="2:3" ht="15" hidden="1" customHeight="1" x14ac:dyDescent="0.2"/>
    <row r="61" spans="2:3" ht="15" hidden="1" customHeight="1" x14ac:dyDescent="0.2"/>
    <row r="62" spans="2:3" ht="15" hidden="1" customHeight="1" x14ac:dyDescent="0.2"/>
    <row r="63" spans="2:3" ht="15" hidden="1" customHeight="1" x14ac:dyDescent="0.2"/>
    <row r="64" spans="2:3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</sheetData>
  <sheetProtection algorithmName="SHA-512" hashValue="3C6Dmk4PJpbW9nwiMBJQ08iXJFj0Z4OZwaUjVsbsT6Q3Axsqtk0vuhX34gJLZOLHnTy0nkKXhkD7T8D0HaLULw==" saltValue="1zdcGZtqfP4xKG/n9gSaMw==" spinCount="100000" sheet="1" objects="1" scenarios="1" selectLockedCells="1"/>
  <mergeCells count="3">
    <mergeCell ref="C6:N6"/>
    <mergeCell ref="E35:F35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97" orientation="portrait" cellComments="atEnd" horizontalDpi="360" verticalDpi="36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8">
    <pageSetUpPr fitToPage="1"/>
  </sheetPr>
  <dimension ref="A1:W43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C7" s="27"/>
      <c r="D7" s="27"/>
      <c r="E7" s="27"/>
      <c r="F7" s="27"/>
      <c r="G7" s="27"/>
      <c r="H7" s="27"/>
      <c r="I7" s="27"/>
      <c r="J7" s="27"/>
      <c r="K7" s="27"/>
    </row>
    <row r="8" spans="1:16" ht="15" customHeight="1" x14ac:dyDescent="0.2">
      <c r="C8" s="27"/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>
      <c r="C9" s="27"/>
      <c r="D9" s="27"/>
      <c r="E9" s="27"/>
      <c r="F9" s="27"/>
      <c r="G9" s="27"/>
      <c r="H9" s="27"/>
      <c r="I9" s="27"/>
      <c r="J9" s="27"/>
      <c r="K9" s="27"/>
    </row>
    <row r="10" spans="1:16" ht="15" customHeight="1" x14ac:dyDescent="0.2">
      <c r="F10" s="265"/>
      <c r="G10" s="271"/>
      <c r="H10" s="271"/>
    </row>
    <row r="11" spans="1:16" ht="15" customHeight="1" x14ac:dyDescent="0.2">
      <c r="D11" s="266" t="s">
        <v>190</v>
      </c>
      <c r="G11" s="237">
        <v>20</v>
      </c>
      <c r="H11" s="266" t="s">
        <v>495</v>
      </c>
      <c r="I11" s="263">
        <f>(100/(G11/100))*100</f>
        <v>50000</v>
      </c>
      <c r="J11" s="263" t="s">
        <v>347</v>
      </c>
    </row>
    <row r="12" spans="1:16" ht="15" customHeight="1" x14ac:dyDescent="0.2">
      <c r="G12" s="265"/>
      <c r="H12" s="271"/>
      <c r="I12" s="271"/>
    </row>
    <row r="13" spans="1:16" ht="15" customHeight="1" x14ac:dyDescent="0.2">
      <c r="D13" s="266" t="s">
        <v>338</v>
      </c>
      <c r="G13" s="237">
        <v>8</v>
      </c>
      <c r="H13" s="356" t="s">
        <v>1953</v>
      </c>
    </row>
    <row r="14" spans="1:16" ht="15" customHeight="1" x14ac:dyDescent="0.2">
      <c r="G14" s="237">
        <v>150</v>
      </c>
      <c r="H14" s="356" t="s">
        <v>1933</v>
      </c>
    </row>
    <row r="15" spans="1:16" ht="15" customHeight="1" x14ac:dyDescent="0.2">
      <c r="G15" s="237">
        <v>9</v>
      </c>
      <c r="H15" s="356" t="s">
        <v>1934</v>
      </c>
    </row>
    <row r="16" spans="1:16" ht="15" customHeight="1" x14ac:dyDescent="0.2">
      <c r="G16" s="237">
        <v>40</v>
      </c>
      <c r="H16" s="356" t="s">
        <v>1929</v>
      </c>
    </row>
    <row r="17" spans="3:23" ht="15" customHeight="1" x14ac:dyDescent="0.2">
      <c r="G17" s="265"/>
    </row>
    <row r="18" spans="3:23" ht="15" customHeight="1" x14ac:dyDescent="0.2">
      <c r="D18" s="266" t="s">
        <v>340</v>
      </c>
      <c r="G18" s="237">
        <v>90</v>
      </c>
      <c r="H18" s="49" t="s">
        <v>341</v>
      </c>
    </row>
    <row r="19" spans="3:23" ht="15" customHeight="1" x14ac:dyDescent="0.2">
      <c r="G19" s="265"/>
    </row>
    <row r="20" spans="3:23" ht="15" customHeight="1" x14ac:dyDescent="0.2"/>
    <row r="21" spans="3:23" s="213" customFormat="1" ht="15" customHeight="1" x14ac:dyDescent="0.25">
      <c r="D21" s="291" t="s">
        <v>350</v>
      </c>
      <c r="E21" s="291"/>
      <c r="F21" s="291"/>
      <c r="G21" s="291"/>
      <c r="H21" s="291"/>
      <c r="I21" s="27"/>
      <c r="J21" s="266"/>
      <c r="K21" s="266"/>
      <c r="L21" s="266"/>
      <c r="M21" s="266"/>
    </row>
    <row r="22" spans="3:23" ht="15" customHeight="1" x14ac:dyDescent="0.25">
      <c r="C22" s="27"/>
      <c r="D22" s="277" t="s">
        <v>573</v>
      </c>
      <c r="E22" s="476"/>
      <c r="F22" s="476"/>
      <c r="G22" s="476"/>
      <c r="H22" s="27"/>
      <c r="I22" s="27"/>
      <c r="J22" s="27"/>
      <c r="K22" s="27"/>
      <c r="L22" s="27"/>
      <c r="M22" s="27"/>
      <c r="N22" s="27"/>
    </row>
    <row r="23" spans="3:23" ht="15" customHeight="1" x14ac:dyDescent="0.2">
      <c r="C23" s="27"/>
      <c r="D23" s="292" t="s">
        <v>1708</v>
      </c>
      <c r="E23" s="267"/>
      <c r="F23" s="27"/>
      <c r="G23" s="220">
        <f>IF((G15*(70-G16)/G18)&gt;0,G15*(70-G16)/G18,0)</f>
        <v>3</v>
      </c>
      <c r="H23" s="321" t="s">
        <v>349</v>
      </c>
      <c r="I23" s="304"/>
      <c r="J23" s="304"/>
      <c r="K23" s="304"/>
      <c r="L23" s="27"/>
      <c r="M23" s="27"/>
      <c r="N23" s="27"/>
    </row>
    <row r="24" spans="3:23" ht="15" customHeight="1" x14ac:dyDescent="0.2">
      <c r="C24" s="27"/>
      <c r="D24" s="27"/>
      <c r="E24" s="27"/>
      <c r="F24" s="222"/>
      <c r="G24" s="27"/>
      <c r="H24" s="27"/>
      <c r="I24" s="27"/>
      <c r="J24" s="27"/>
      <c r="K24" s="27"/>
      <c r="L24" s="27"/>
      <c r="M24" s="27"/>
      <c r="N24" s="27"/>
    </row>
    <row r="25" spans="3:23" ht="15" customHeight="1" x14ac:dyDescent="0.2">
      <c r="C25" s="27"/>
      <c r="D25" s="221" t="s">
        <v>1702</v>
      </c>
      <c r="E25" s="27"/>
      <c r="F25" s="27"/>
      <c r="G25" s="224">
        <v>5</v>
      </c>
      <c r="H25" s="275" t="str">
        <f>"g/m de sulco de "&amp;W25&amp;" ou 1 L/m de esterco bovino"</f>
        <v>g/m de sulco de 20-00-15 ou 1 L/m de esterco bovino</v>
      </c>
      <c r="I25" s="27"/>
      <c r="J25" s="27"/>
      <c r="K25" s="27"/>
      <c r="L25" s="27"/>
      <c r="M25" s="27"/>
      <c r="N25" s="220"/>
      <c r="W25" s="171" t="str">
        <f>IF(G14&lt;80,"20-00-30",IF(AND(G14&gt;=80,G14&lt;150),"20-00-20",IF(AND(G14&gt;=150,G14&lt;200),"20-00-15",IF(AND(G14&gt;=200,G14&lt;280),"20-00-10","Sulf. Amônio"))))</f>
        <v>20-00-15</v>
      </c>
    </row>
    <row r="26" spans="3:23" ht="15" customHeight="1" x14ac:dyDescent="0.2">
      <c r="C26" s="27"/>
      <c r="D26" s="27"/>
      <c r="E26" s="27"/>
      <c r="F26" s="27"/>
      <c r="G26" s="224" t="str">
        <f>IF(G13&lt;20,"30",IF(AND(G13&gt;=20,G13&lt;60),"20",IF(AND(G13&gt;=60,G13&lt;100),"10",IF(AND(G13&gt;=100,G13&lt;150),"5",0))))</f>
        <v>30</v>
      </c>
      <c r="H26" s="26" t="s">
        <v>1314</v>
      </c>
      <c r="I26" s="27"/>
      <c r="J26" s="208"/>
      <c r="K26" s="218"/>
      <c r="L26" s="306"/>
      <c r="M26" s="306"/>
      <c r="N26" s="263"/>
    </row>
    <row r="27" spans="3:23" ht="15" customHeight="1" x14ac:dyDescent="0.2">
      <c r="C27" s="27"/>
      <c r="D27" s="27"/>
      <c r="E27" s="27"/>
      <c r="F27" s="27"/>
      <c r="G27" s="224">
        <f>(40/I11)*1000</f>
        <v>0.8</v>
      </c>
      <c r="H27" s="26" t="s">
        <v>2141</v>
      </c>
      <c r="I27" s="27"/>
      <c r="J27" s="208"/>
      <c r="K27" s="218"/>
      <c r="L27" s="306"/>
      <c r="M27" s="27"/>
      <c r="N27" s="263"/>
    </row>
    <row r="28" spans="3:23" ht="15" customHeight="1" x14ac:dyDescent="0.2">
      <c r="C28" s="27"/>
      <c r="D28" s="27"/>
      <c r="E28" s="27"/>
      <c r="F28" s="27"/>
      <c r="G28" s="27"/>
      <c r="H28" s="663"/>
      <c r="I28" s="27"/>
      <c r="J28" s="27"/>
      <c r="K28" s="27"/>
      <c r="L28" s="27"/>
      <c r="M28" s="27"/>
      <c r="N28" s="27"/>
    </row>
    <row r="29" spans="3:23" ht="15" customHeight="1" x14ac:dyDescent="0.2">
      <c r="C29" s="27"/>
      <c r="D29" s="221" t="s">
        <v>342</v>
      </c>
      <c r="E29" s="27"/>
      <c r="F29" s="27"/>
      <c r="G29" s="224">
        <v>10</v>
      </c>
      <c r="H29" s="275" t="str">
        <f>"g/m do formulado "&amp;W25&amp;" aos 40 dias do transplantio."</f>
        <v>g/m do formulado 20-00-15 aos 40 dias do transplantio.</v>
      </c>
      <c r="I29" s="333"/>
      <c r="J29" s="27"/>
      <c r="K29" s="27"/>
      <c r="L29" s="27"/>
      <c r="M29" s="27"/>
      <c r="N29" s="27"/>
      <c r="W29" s="222"/>
    </row>
    <row r="30" spans="3:23" ht="15" customHeight="1" x14ac:dyDescent="0.2">
      <c r="C30" s="27"/>
      <c r="D30" s="27"/>
      <c r="E30" s="27"/>
      <c r="F30" s="27"/>
      <c r="G30" s="27"/>
      <c r="H30" s="283"/>
      <c r="I30" s="333"/>
      <c r="J30" s="27"/>
      <c r="K30" s="27"/>
      <c r="L30" s="27"/>
      <c r="M30" s="27"/>
      <c r="N30" s="27"/>
    </row>
    <row r="31" spans="3:23" ht="15" customHeight="1" x14ac:dyDescent="0.2">
      <c r="C31" s="27"/>
      <c r="D31" s="27"/>
      <c r="E31" s="27"/>
      <c r="F31" s="27"/>
      <c r="G31" s="27"/>
      <c r="H31" s="27"/>
      <c r="I31" s="333"/>
      <c r="J31" s="27"/>
      <c r="K31" s="27"/>
      <c r="L31" s="27"/>
      <c r="M31" s="27"/>
      <c r="N31" s="27"/>
    </row>
    <row r="32" spans="3:23" ht="1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3:14" ht="1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3:14" ht="1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3:14" ht="1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3:14" ht="15" customHeight="1" x14ac:dyDescent="0.2">
      <c r="D36" s="225" t="s">
        <v>891</v>
      </c>
      <c r="E36" s="717">
        <f ca="1">TODAY()</f>
        <v>45064</v>
      </c>
      <c r="F36" s="714"/>
      <c r="G36" s="296" t="s">
        <v>373</v>
      </c>
    </row>
    <row r="37" spans="3:14" s="60" customFormat="1" ht="15" customHeight="1" x14ac:dyDescent="0.2">
      <c r="C37" s="296"/>
      <c r="D37" s="267"/>
      <c r="E37" s="296"/>
      <c r="F37" s="296"/>
      <c r="G37" s="296"/>
      <c r="H37" s="296"/>
      <c r="I37" s="296"/>
      <c r="J37" s="296"/>
      <c r="K37" s="296"/>
    </row>
    <row r="38" spans="3:14" s="60" customFormat="1" ht="15" hidden="1" customHeight="1" x14ac:dyDescent="0.2">
      <c r="C38" s="296"/>
      <c r="D38" s="267"/>
      <c r="E38" s="296"/>
      <c r="F38" s="296"/>
      <c r="G38" s="296"/>
      <c r="I38" s="296"/>
      <c r="J38" s="296"/>
      <c r="K38" s="296"/>
    </row>
    <row r="39" spans="3:14" s="60" customFormat="1" ht="15" hidden="1" customHeight="1" x14ac:dyDescent="0.2">
      <c r="C39" s="296"/>
      <c r="D39" s="267"/>
      <c r="E39" s="296"/>
      <c r="F39" s="296"/>
      <c r="G39" s="296"/>
      <c r="H39" s="773"/>
      <c r="I39" s="773"/>
      <c r="J39" s="773"/>
      <c r="K39" s="773"/>
    </row>
    <row r="40" spans="3:14" s="60" customFormat="1" ht="15" hidden="1" customHeight="1" x14ac:dyDescent="0.2">
      <c r="C40" s="296"/>
      <c r="D40" s="267"/>
      <c r="E40" s="296"/>
      <c r="F40" s="296"/>
      <c r="G40" s="296"/>
      <c r="H40" s="296"/>
      <c r="I40" s="296"/>
      <c r="J40" s="296"/>
      <c r="K40" s="296"/>
    </row>
    <row r="41" spans="3:14" ht="15" hidden="1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</row>
    <row r="42" spans="3:14" ht="15" hidden="1" customHeight="1" x14ac:dyDescent="0.2"/>
    <row r="43" spans="3:14" s="60" customFormat="1" ht="15" hidden="1" customHeight="1" x14ac:dyDescent="0.2">
      <c r="D43" s="267"/>
      <c r="I43" s="33"/>
    </row>
  </sheetData>
  <sheetProtection algorithmName="SHA-512" hashValue="k+iefgdqISbdWgM0VTCFX7pjMe92h1LwhqHl8Q8j2bQ6SA/K3+NE5lYXlIcSHgE5m9ztZqNHI1l6ltQfCRonXQ==" saltValue="Q0cEQCSAW3piIidSr6Tp2w==" spinCount="100000" sheet="1" objects="1" scenarios="1" selectLockedCells="1"/>
  <mergeCells count="4">
    <mergeCell ref="C6:N6"/>
    <mergeCell ref="H39:K39"/>
    <mergeCell ref="E8:M8"/>
    <mergeCell ref="E36:F3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1">
    <pageSetUpPr fitToPage="1"/>
  </sheetPr>
  <dimension ref="A1:W45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2142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1208</v>
      </c>
      <c r="G11" s="283" t="s">
        <v>1308</v>
      </c>
      <c r="H11" s="208"/>
      <c r="I11" s="27"/>
      <c r="J11" s="299"/>
    </row>
    <row r="12" spans="1:16" ht="15" customHeight="1" x14ac:dyDescent="0.2">
      <c r="H12" s="208"/>
      <c r="I12" s="27"/>
      <c r="J12" s="299"/>
    </row>
    <row r="13" spans="1:16" ht="15" customHeight="1" x14ac:dyDescent="0.2">
      <c r="D13" s="266" t="s">
        <v>338</v>
      </c>
      <c r="G13" s="237">
        <v>50</v>
      </c>
      <c r="H13" s="356" t="s">
        <v>1953</v>
      </c>
      <c r="I13" s="271"/>
    </row>
    <row r="14" spans="1:16" ht="15" customHeight="1" x14ac:dyDescent="0.2">
      <c r="G14" s="237">
        <v>150</v>
      </c>
      <c r="H14" s="356" t="s">
        <v>1933</v>
      </c>
      <c r="I14" s="271"/>
    </row>
    <row r="15" spans="1:16" ht="15" customHeight="1" x14ac:dyDescent="0.2">
      <c r="G15" s="7">
        <v>8.9499999999999993</v>
      </c>
      <c r="H15" s="356" t="s">
        <v>1934</v>
      </c>
      <c r="I15" s="271"/>
    </row>
    <row r="16" spans="1:16" ht="15" customHeight="1" x14ac:dyDescent="0.2">
      <c r="G16" s="10">
        <v>40</v>
      </c>
      <c r="H16" s="356" t="s">
        <v>1929</v>
      </c>
      <c r="I16" s="271"/>
    </row>
    <row r="17" spans="4:23" ht="15" customHeight="1" x14ac:dyDescent="0.2">
      <c r="G17" s="265"/>
      <c r="I17" s="271"/>
    </row>
    <row r="18" spans="4:23" ht="15" customHeight="1" x14ac:dyDescent="0.2">
      <c r="D18" s="266" t="s">
        <v>340</v>
      </c>
      <c r="G18" s="237">
        <v>90</v>
      </c>
      <c r="H18" s="49" t="s">
        <v>341</v>
      </c>
      <c r="I18" s="271"/>
    </row>
    <row r="19" spans="4:23" ht="15" customHeight="1" x14ac:dyDescent="0.2"/>
    <row r="20" spans="4:23" ht="15" customHeight="1" x14ac:dyDescent="0.25">
      <c r="D20" s="291" t="s">
        <v>350</v>
      </c>
      <c r="E20" s="291"/>
      <c r="F20" s="291"/>
      <c r="G20" s="291"/>
      <c r="H20" s="291"/>
      <c r="I20" s="27"/>
      <c r="O20" s="213"/>
    </row>
    <row r="21" spans="4:23" ht="15" customHeight="1" x14ac:dyDescent="0.25">
      <c r="D21" s="277" t="s">
        <v>573</v>
      </c>
      <c r="E21" s="309"/>
      <c r="F21" s="309"/>
      <c r="G21" s="309"/>
    </row>
    <row r="22" spans="4:23" s="213" customFormat="1" ht="15" customHeight="1" x14ac:dyDescent="0.2">
      <c r="D22" s="298" t="s">
        <v>1708</v>
      </c>
      <c r="E22" s="267"/>
      <c r="G22" s="286">
        <f>IF(( G15*(70-G16)/G18)&gt;0, G15*(70-G16)/G18,0)</f>
        <v>2.9833333333333334</v>
      </c>
      <c r="H22" s="300" t="s">
        <v>349</v>
      </c>
    </row>
    <row r="23" spans="4:23" ht="15" customHeight="1" x14ac:dyDescent="0.2">
      <c r="F23" s="222"/>
    </row>
    <row r="24" spans="4:23" ht="15" customHeight="1" x14ac:dyDescent="0.2">
      <c r="D24" s="169" t="s">
        <v>2163</v>
      </c>
      <c r="G24" s="224">
        <v>5</v>
      </c>
      <c r="H24" s="170" t="s">
        <v>2143</v>
      </c>
      <c r="I24" s="221"/>
      <c r="L24" s="220"/>
      <c r="M24" s="213"/>
      <c r="N24" s="213"/>
    </row>
    <row r="25" spans="4:23" ht="15" customHeight="1" x14ac:dyDescent="0.2">
      <c r="G25" s="224" t="str">
        <f>IF(F12&lt;20,"180",IF(AND(F12&gt;=20,F12&lt;60),"120",IF(AND(F12&gt;=60,F12&lt;100),"100",IF(AND(F12&gt;=100,F12&lt;150),"50",0))))</f>
        <v>180</v>
      </c>
      <c r="H25" s="213" t="s">
        <v>806</v>
      </c>
      <c r="I25" s="303"/>
      <c r="J25" s="218"/>
      <c r="K25" s="263"/>
      <c r="L25" s="27"/>
      <c r="M25" s="27"/>
      <c r="N25" s="27"/>
      <c r="O25" s="27"/>
    </row>
    <row r="26" spans="4:23" ht="15" customHeight="1" x14ac:dyDescent="0.2">
      <c r="G26" s="224">
        <v>5</v>
      </c>
      <c r="H26" s="213" t="s">
        <v>1053</v>
      </c>
      <c r="I26" s="208"/>
      <c r="J26" s="218"/>
      <c r="K26" s="263"/>
    </row>
    <row r="27" spans="4:23" ht="15" customHeight="1" x14ac:dyDescent="0.2">
      <c r="F27" s="169"/>
      <c r="K27" s="263"/>
    </row>
    <row r="28" spans="4:23" ht="15" customHeight="1" x14ac:dyDescent="0.2">
      <c r="D28" s="169" t="s">
        <v>342</v>
      </c>
      <c r="G28" s="224">
        <v>10</v>
      </c>
      <c r="H28" s="266" t="str">
        <f>"g/m2 de "&amp;W28&amp;" aos 7 dias do plantio."</f>
        <v>g/m2 de 20-00-15 aos 7 dias do plantio.</v>
      </c>
      <c r="I28" s="308"/>
      <c r="K28" s="263"/>
      <c r="L28" s="27"/>
      <c r="M28" s="27"/>
      <c r="N28" s="27"/>
      <c r="W28" s="171" t="str">
        <f>IF(G14&lt;80,"20-00-30",IF(AND(G14&gt;=80,G14&lt;150),"20-00-20",IF(AND(G14&gt;=150,G14&lt;200),"20-00-15",IF(AND(G14&gt;=200,G14&lt;280),"20-00-10","Sulf. Amônio"))))</f>
        <v>20-00-15</v>
      </c>
    </row>
    <row r="29" spans="4:23" ht="15" customHeight="1" x14ac:dyDescent="0.2">
      <c r="D29" s="27"/>
      <c r="E29" s="27"/>
      <c r="G29" s="224">
        <v>15</v>
      </c>
      <c r="H29" s="266" t="str">
        <f>"g/m2 de "&amp;W28&amp;" aos 15 dias do plantio."</f>
        <v>g/m2 de 20-00-15 aos 15 dias do plantio.</v>
      </c>
      <c r="I29" s="222"/>
      <c r="J29" s="308" t="s">
        <v>191</v>
      </c>
    </row>
    <row r="30" spans="4:23" ht="15" customHeight="1" x14ac:dyDescent="0.2">
      <c r="D30" s="27"/>
      <c r="E30" s="27"/>
      <c r="G30" s="224">
        <v>20</v>
      </c>
      <c r="H30" s="266" t="str">
        <f>"g/m2 de "&amp;W28&amp;" aos 20 dias do plantio."</f>
        <v>g/m2 de 20-00-15 aos 20 dias do plantio.</v>
      </c>
      <c r="I30" s="222"/>
      <c r="J30" s="308" t="s">
        <v>926</v>
      </c>
    </row>
    <row r="31" spans="4:23" ht="15" customHeight="1" x14ac:dyDescent="0.2">
      <c r="D31" s="27"/>
      <c r="E31" s="27"/>
      <c r="F31" s="224"/>
      <c r="H31" s="221"/>
      <c r="I31" s="308"/>
      <c r="K31" s="27"/>
    </row>
    <row r="32" spans="4:23" ht="15" customHeight="1" x14ac:dyDescent="0.2">
      <c r="D32" s="169"/>
    </row>
    <row r="33" spans="4:15" ht="15" customHeight="1" x14ac:dyDescent="0.2"/>
    <row r="34" spans="4:15" ht="15" customHeight="1" x14ac:dyDescent="0.2"/>
    <row r="35" spans="4:15" ht="15" customHeight="1" x14ac:dyDescent="0.2"/>
    <row r="36" spans="4:15" ht="15" customHeight="1" x14ac:dyDescent="0.2"/>
    <row r="37" spans="4:15" ht="15" customHeight="1" x14ac:dyDescent="0.2"/>
    <row r="38" spans="4:15" s="60" customFormat="1" ht="15" customHeight="1" x14ac:dyDescent="0.2">
      <c r="D38" s="225" t="s">
        <v>891</v>
      </c>
      <c r="E38" s="717">
        <f ca="1">TODAY()</f>
        <v>45064</v>
      </c>
      <c r="F38" s="714"/>
      <c r="G38" s="60" t="s">
        <v>373</v>
      </c>
      <c r="H38" s="266"/>
      <c r="I38" s="266"/>
      <c r="J38" s="266"/>
      <c r="K38" s="266"/>
      <c r="L38" s="266"/>
      <c r="M38" s="266"/>
      <c r="N38" s="266"/>
      <c r="O38" s="266"/>
    </row>
    <row r="39" spans="4:15" s="60" customFormat="1" ht="15" customHeight="1" x14ac:dyDescent="0.2"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</row>
    <row r="40" spans="4:15" s="60" customFormat="1" ht="15" hidden="1" customHeight="1" x14ac:dyDescent="0.2"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4:15" s="60" customFormat="1" ht="15" hidden="1" customHeight="1" x14ac:dyDescent="0.2">
      <c r="D41" s="266"/>
      <c r="K41" s="266"/>
      <c r="L41" s="266"/>
      <c r="M41" s="266"/>
      <c r="N41" s="266"/>
      <c r="O41" s="266"/>
    </row>
    <row r="42" spans="4:15" s="60" customFormat="1" ht="15" hidden="1" customHeight="1" x14ac:dyDescent="0.2"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4:15" s="60" customFormat="1" ht="15" hidden="1" customHeight="1" x14ac:dyDescent="0.2">
      <c r="E43" s="267"/>
      <c r="J43" s="33"/>
    </row>
    <row r="44" spans="4:15" ht="15" customHeight="1" x14ac:dyDescent="0.2"/>
    <row r="45" spans="4:15" ht="15" customHeight="1" x14ac:dyDescent="0.2"/>
  </sheetData>
  <sheetProtection algorithmName="SHA-512" hashValue="X2YNemjdREg9SyyIiaT4XanX+7nvoJRTFR5pErIBN1SVIrrE/rJpwjrHKS/mGhBFiSQWKDk4u7WpRVVqc0tlpA==" saltValue="WuRdgezfaP68GSj5e2iRxw==" spinCount="100000" sheet="1" objects="1" scenarios="1" selectLockedCells="1"/>
  <mergeCells count="3">
    <mergeCell ref="C6:N6"/>
    <mergeCell ref="E38:F38"/>
    <mergeCell ref="E8:M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2">
    <pageSetUpPr fitToPage="1"/>
  </sheetPr>
  <dimension ref="A1:W91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75" customHeight="1" x14ac:dyDescent="0.2">
      <c r="C6" s="699" t="s">
        <v>2144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1703</v>
      </c>
      <c r="E11" s="265"/>
      <c r="G11" s="237">
        <v>136</v>
      </c>
      <c r="H11" s="356" t="s">
        <v>1953</v>
      </c>
    </row>
    <row r="12" spans="1:16" ht="15" customHeight="1" x14ac:dyDescent="0.2">
      <c r="E12" s="265"/>
      <c r="G12" s="237">
        <v>176</v>
      </c>
      <c r="H12" s="356" t="s">
        <v>1933</v>
      </c>
    </row>
    <row r="13" spans="1:16" ht="15" customHeight="1" x14ac:dyDescent="0.2">
      <c r="E13" s="265"/>
      <c r="G13" s="237">
        <v>9.4</v>
      </c>
      <c r="H13" s="356" t="s">
        <v>1934</v>
      </c>
    </row>
    <row r="14" spans="1:16" ht="15" customHeight="1" x14ac:dyDescent="0.2">
      <c r="E14" s="265"/>
      <c r="G14" s="237">
        <v>30</v>
      </c>
      <c r="H14" s="356" t="s">
        <v>1929</v>
      </c>
    </row>
    <row r="15" spans="1:16" ht="15" customHeight="1" x14ac:dyDescent="0.2">
      <c r="E15" s="265"/>
      <c r="H15" s="49"/>
    </row>
    <row r="16" spans="1:16" ht="15" customHeight="1" x14ac:dyDescent="0.2">
      <c r="D16" s="266" t="s">
        <v>340</v>
      </c>
      <c r="G16" s="237">
        <v>90</v>
      </c>
      <c r="H16" s="49" t="s">
        <v>341</v>
      </c>
    </row>
    <row r="17" spans="4:18" ht="15" customHeight="1" x14ac:dyDescent="0.2">
      <c r="G17" s="263"/>
      <c r="H17" s="49"/>
    </row>
    <row r="18" spans="4:18" ht="15" customHeight="1" x14ac:dyDescent="0.2">
      <c r="G18" s="263"/>
      <c r="H18" s="49"/>
    </row>
    <row r="19" spans="4:18" ht="15" customHeight="1" x14ac:dyDescent="0.25">
      <c r="D19" s="291" t="s">
        <v>350</v>
      </c>
      <c r="H19" s="49"/>
      <c r="R19" s="396"/>
    </row>
    <row r="20" spans="4:18" ht="15" customHeight="1" x14ac:dyDescent="0.2">
      <c r="D20" s="169" t="s">
        <v>2152</v>
      </c>
      <c r="H20" s="49"/>
    </row>
    <row r="21" spans="4:18" ht="15" customHeight="1" x14ac:dyDescent="0.2">
      <c r="D21" s="298" t="s">
        <v>1708</v>
      </c>
      <c r="G21" s="286">
        <f>IF((G13*(60-G14)/G16)&gt;0,G13*(60-G14)/G16,0)</f>
        <v>3.1333333333333333</v>
      </c>
      <c r="H21" s="49" t="s">
        <v>2145</v>
      </c>
      <c r="R21" s="396"/>
    </row>
    <row r="22" spans="4:18" ht="15" customHeight="1" x14ac:dyDescent="0.2"/>
    <row r="23" spans="4:18" ht="15" customHeight="1" x14ac:dyDescent="0.2">
      <c r="D23" s="169" t="s">
        <v>2153</v>
      </c>
    </row>
    <row r="24" spans="4:18" ht="15" customHeight="1" x14ac:dyDescent="0.2">
      <c r="E24" s="266" t="s">
        <v>2146</v>
      </c>
    </row>
    <row r="25" spans="4:18" ht="15" customHeight="1" x14ac:dyDescent="0.2">
      <c r="E25" s="266" t="s">
        <v>2147</v>
      </c>
    </row>
    <row r="26" spans="4:18" ht="15" customHeight="1" x14ac:dyDescent="0.2">
      <c r="E26" s="266" t="s">
        <v>2148</v>
      </c>
    </row>
    <row r="27" spans="4:18" ht="15" customHeight="1" x14ac:dyDescent="0.2"/>
    <row r="28" spans="4:18" ht="15" customHeight="1" x14ac:dyDescent="0.2">
      <c r="D28" s="169" t="s">
        <v>2154</v>
      </c>
    </row>
    <row r="29" spans="4:18" ht="15" customHeight="1" x14ac:dyDescent="0.2">
      <c r="E29" s="266" t="s">
        <v>2150</v>
      </c>
    </row>
    <row r="30" spans="4:18" ht="15" customHeight="1" x14ac:dyDescent="0.2">
      <c r="E30" s="266" t="s">
        <v>2149</v>
      </c>
    </row>
    <row r="31" spans="4:18" ht="15" customHeight="1" x14ac:dyDescent="0.2">
      <c r="E31" s="266" t="s">
        <v>2151</v>
      </c>
    </row>
    <row r="32" spans="4:18" ht="15" customHeight="1" x14ac:dyDescent="0.2"/>
    <row r="33" spans="3:23" ht="15" customHeight="1" x14ac:dyDescent="0.2">
      <c r="D33" s="169" t="s">
        <v>2155</v>
      </c>
    </row>
    <row r="34" spans="3:23" ht="15" customHeight="1" x14ac:dyDescent="0.2">
      <c r="D34" s="266" t="s">
        <v>1703</v>
      </c>
      <c r="G34" s="5">
        <v>50</v>
      </c>
      <c r="H34" s="356" t="s">
        <v>1933</v>
      </c>
    </row>
    <row r="35" spans="3:23" ht="15" customHeight="1" x14ac:dyDescent="0.2">
      <c r="D35" s="298" t="s">
        <v>371</v>
      </c>
      <c r="F35" s="49" t="str">
        <f>"3 (três) aplicações de 50 g/cova de "&amp;W35</f>
        <v>3 (três) aplicações de 50 g/cova de 20-00-20.</v>
      </c>
      <c r="W35" s="292" t="str">
        <f>IF(G34&lt;60,"20-00-20.",IF(AND(G34&gt;=60,G34&lt;120),"20-00-10.","Sultato de Amônio."))</f>
        <v>20-00-20.</v>
      </c>
    </row>
    <row r="36" spans="3:23" ht="15" customHeight="1" x14ac:dyDescent="0.2">
      <c r="D36" s="27"/>
      <c r="E36" s="27"/>
      <c r="F36" s="27"/>
      <c r="G36" s="27"/>
      <c r="H36" s="27"/>
      <c r="W36" s="60"/>
    </row>
    <row r="37" spans="3:23" ht="15" customHeight="1" x14ac:dyDescent="0.2">
      <c r="D37" s="169" t="s">
        <v>2156</v>
      </c>
      <c r="E37" s="267"/>
      <c r="F37" s="27"/>
      <c r="G37" s="280"/>
      <c r="H37" s="27"/>
      <c r="W37" s="60"/>
    </row>
    <row r="38" spans="3:23" ht="15" customHeight="1" x14ac:dyDescent="0.2">
      <c r="D38" s="266" t="s">
        <v>1703</v>
      </c>
      <c r="G38" s="5">
        <v>70</v>
      </c>
      <c r="H38" s="356" t="s">
        <v>1933</v>
      </c>
      <c r="W38" s="60"/>
    </row>
    <row r="39" spans="3:23" ht="15" customHeight="1" x14ac:dyDescent="0.2">
      <c r="D39" s="298" t="s">
        <v>371</v>
      </c>
      <c r="F39" s="49" t="str">
        <f>"3 (três) aplicações de 60 g/cova de "&amp;W39</f>
        <v>3 (três) aplicações de 60 g/cova de 20-00-10.</v>
      </c>
      <c r="W39" s="292" t="str">
        <f>IF(G38&lt;60,"20-00-20.",IF(AND(G38&gt;=60,G38&lt;120),"20-00-10.","Sultato de Amônio."))</f>
        <v>20-00-10.</v>
      </c>
    </row>
    <row r="40" spans="3:23" ht="15" customHeight="1" x14ac:dyDescent="0.2">
      <c r="W40" s="60"/>
    </row>
    <row r="41" spans="3:23" ht="15" customHeight="1" x14ac:dyDescent="0.2">
      <c r="D41" s="277" t="s">
        <v>2157</v>
      </c>
      <c r="W41" s="60"/>
    </row>
    <row r="42" spans="3:23" ht="15" customHeight="1" x14ac:dyDescent="0.2">
      <c r="D42" s="266" t="s">
        <v>1703</v>
      </c>
      <c r="G42" s="5">
        <v>120</v>
      </c>
      <c r="H42" s="356" t="s">
        <v>1933</v>
      </c>
      <c r="W42" s="60"/>
    </row>
    <row r="43" spans="3:23" ht="15" customHeight="1" x14ac:dyDescent="0.2">
      <c r="D43" s="298" t="s">
        <v>371</v>
      </c>
      <c r="F43" s="49" t="str">
        <f>"3 (três) aplicações de 70 g/cova de "&amp;W43</f>
        <v>3 (três) aplicações de 70 g/cova de Sultato de Amônio.</v>
      </c>
      <c r="W43" s="292" t="str">
        <f>IF(G42&lt;60,"20-00-20.",IF(AND(G42&gt;=60,G42&lt;120),"20-00-10.","Sultato de Amônio."))</f>
        <v>Sultato de Amônio.</v>
      </c>
    </row>
    <row r="44" spans="3:23" ht="15" customHeight="1" x14ac:dyDescent="0.2"/>
    <row r="45" spans="3:23" ht="15" customHeight="1" x14ac:dyDescent="0.2">
      <c r="D45" s="169" t="s">
        <v>2158</v>
      </c>
    </row>
    <row r="46" spans="3:23" ht="15" customHeight="1" x14ac:dyDescent="0.2">
      <c r="D46" s="298" t="s">
        <v>371</v>
      </c>
      <c r="F46" s="49" t="s">
        <v>2159</v>
      </c>
      <c r="I46" s="272"/>
    </row>
    <row r="47" spans="3:23" s="281" customFormat="1" ht="15" customHeight="1" x14ac:dyDescent="0.2">
      <c r="C47" s="60"/>
      <c r="D47" s="267"/>
      <c r="E47" s="267"/>
      <c r="F47" s="60"/>
      <c r="G47" s="60"/>
      <c r="H47" s="60"/>
      <c r="I47" s="60"/>
      <c r="J47" s="60"/>
      <c r="K47" s="60"/>
    </row>
    <row r="48" spans="3:23" s="281" customFormat="1" ht="15" customHeight="1" x14ac:dyDescent="0.2">
      <c r="C48" s="60"/>
      <c r="D48" s="226" t="s">
        <v>891</v>
      </c>
      <c r="E48" s="717">
        <f ca="1">TODAY()</f>
        <v>45064</v>
      </c>
      <c r="F48" s="714"/>
      <c r="G48" s="60" t="s">
        <v>373</v>
      </c>
      <c r="H48" s="60"/>
      <c r="I48" s="60"/>
      <c r="J48" s="60"/>
      <c r="K48" s="60"/>
    </row>
    <row r="49" spans="2:11" s="281" customFormat="1" ht="15" customHeight="1" x14ac:dyDescent="0.2">
      <c r="C49" s="60"/>
      <c r="D49" s="267"/>
      <c r="E49" s="60"/>
      <c r="F49" s="60"/>
      <c r="G49" s="60"/>
      <c r="H49" s="60"/>
      <c r="I49" s="60"/>
      <c r="J49" s="60"/>
      <c r="K49" s="60"/>
    </row>
    <row r="50" spans="2:11" s="281" customFormat="1" ht="15" hidden="1" customHeight="1" x14ac:dyDescent="0.2">
      <c r="C50" s="60"/>
      <c r="D50" s="267"/>
      <c r="E50" s="60"/>
      <c r="F50" s="60"/>
      <c r="G50" s="60"/>
      <c r="I50" s="60"/>
      <c r="J50" s="60"/>
      <c r="K50" s="60"/>
    </row>
    <row r="51" spans="2:11" s="281" customFormat="1" ht="15" hidden="1" customHeight="1" x14ac:dyDescent="0.2">
      <c r="C51" s="60"/>
      <c r="D51" s="267"/>
      <c r="E51" s="60"/>
      <c r="F51" s="60"/>
      <c r="G51" s="60"/>
      <c r="H51" s="859"/>
      <c r="I51" s="859"/>
      <c r="J51" s="859"/>
      <c r="K51" s="60"/>
    </row>
    <row r="52" spans="2:11" ht="15" hidden="1" customHeight="1" x14ac:dyDescent="0.2">
      <c r="C52" s="60"/>
      <c r="D52" s="60"/>
      <c r="E52" s="60"/>
      <c r="F52" s="60"/>
      <c r="G52" s="60"/>
      <c r="H52" s="60"/>
      <c r="I52" s="60"/>
      <c r="J52" s="60"/>
      <c r="K52" s="60"/>
    </row>
    <row r="53" spans="2:11" ht="15" hidden="1" customHeight="1" x14ac:dyDescent="0.2">
      <c r="C53" s="60"/>
      <c r="D53" s="60"/>
      <c r="E53" s="60"/>
      <c r="F53" s="60"/>
      <c r="G53" s="60"/>
      <c r="H53" s="60"/>
      <c r="I53" s="60"/>
      <c r="J53" s="60"/>
      <c r="K53" s="60"/>
    </row>
    <row r="54" spans="2:11" ht="15" hidden="1" customHeight="1" x14ac:dyDescent="0.2">
      <c r="C54" s="60"/>
      <c r="D54" s="60"/>
      <c r="E54" s="60"/>
      <c r="F54" s="60"/>
      <c r="G54" s="60"/>
      <c r="H54" s="60"/>
      <c r="I54" s="60"/>
      <c r="J54" s="60"/>
      <c r="K54" s="60"/>
    </row>
    <row r="55" spans="2:11" s="60" customFormat="1" ht="15" hidden="1" customHeight="1" x14ac:dyDescent="0.2"/>
    <row r="56" spans="2:11" s="60" customFormat="1" ht="15" hidden="1" customHeight="1" x14ac:dyDescent="0.2">
      <c r="G56" s="33"/>
    </row>
    <row r="57" spans="2:11" s="60" customFormat="1" ht="15" hidden="1" customHeight="1" x14ac:dyDescent="0.2">
      <c r="C57" s="266"/>
      <c r="D57" s="266"/>
      <c r="E57" s="266"/>
      <c r="F57" s="266"/>
      <c r="G57" s="266"/>
      <c r="H57" s="266"/>
      <c r="I57" s="266"/>
      <c r="J57" s="266"/>
      <c r="K57" s="266"/>
    </row>
    <row r="58" spans="2:11" s="60" customFormat="1" ht="15" hidden="1" customHeight="1" x14ac:dyDescent="0.2">
      <c r="C58" s="267"/>
    </row>
    <row r="59" spans="2:11" s="60" customFormat="1" ht="15" hidden="1" customHeight="1" x14ac:dyDescent="0.2">
      <c r="C59" s="267"/>
    </row>
    <row r="60" spans="2:11" s="60" customFormat="1" ht="15" hidden="1" customHeight="1" x14ac:dyDescent="0.2">
      <c r="B60" s="267"/>
      <c r="C60" s="267"/>
    </row>
    <row r="61" spans="2:11" s="60" customFormat="1" ht="15" hidden="1" customHeight="1" x14ac:dyDescent="0.2">
      <c r="B61" s="267"/>
      <c r="C61" s="267"/>
    </row>
    <row r="62" spans="2:11" s="60" customFormat="1" ht="15" hidden="1" customHeight="1" x14ac:dyDescent="0.2">
      <c r="B62" s="267"/>
      <c r="C62" s="267"/>
    </row>
    <row r="63" spans="2:11" s="60" customFormat="1" ht="15" hidden="1" customHeight="1" x14ac:dyDescent="0.2">
      <c r="B63" s="267"/>
      <c r="C63" s="267"/>
    </row>
    <row r="64" spans="2:11" s="60" customFormat="1" ht="15" hidden="1" customHeight="1" x14ac:dyDescent="0.2">
      <c r="B64" s="267"/>
      <c r="C64" s="267"/>
    </row>
    <row r="65" spans="2:11" ht="15" hidden="1" customHeight="1" x14ac:dyDescent="0.2">
      <c r="C65" s="267"/>
      <c r="D65" s="60"/>
      <c r="E65" s="60"/>
      <c r="F65" s="60"/>
      <c r="G65" s="60"/>
      <c r="H65" s="60"/>
      <c r="I65" s="60"/>
      <c r="J65" s="60"/>
      <c r="K65" s="60"/>
    </row>
    <row r="66" spans="2:11" s="60" customFormat="1" ht="15" hidden="1" customHeight="1" x14ac:dyDescent="0.2">
      <c r="B66" s="267"/>
      <c r="C66" s="267"/>
    </row>
    <row r="67" spans="2:11" s="60" customFormat="1" ht="15" hidden="1" customHeight="1" x14ac:dyDescent="0.2">
      <c r="B67" s="267"/>
      <c r="C67" s="267"/>
    </row>
    <row r="68" spans="2:11" s="60" customFormat="1" ht="15" hidden="1" customHeight="1" x14ac:dyDescent="0.2">
      <c r="B68" s="267"/>
      <c r="C68" s="267"/>
    </row>
    <row r="69" spans="2:11" s="60" customFormat="1" ht="15" hidden="1" customHeight="1" x14ac:dyDescent="0.2">
      <c r="B69" s="267"/>
      <c r="C69" s="267"/>
    </row>
    <row r="70" spans="2:11" s="60" customFormat="1" ht="15" hidden="1" customHeight="1" x14ac:dyDescent="0.2">
      <c r="B70" s="267"/>
      <c r="C70" s="267"/>
    </row>
    <row r="71" spans="2:11" s="60" customFormat="1" ht="15" hidden="1" customHeight="1" x14ac:dyDescent="0.2">
      <c r="B71" s="267"/>
      <c r="C71" s="267"/>
    </row>
    <row r="72" spans="2:11" s="60" customFormat="1" ht="15" hidden="1" customHeight="1" x14ac:dyDescent="0.2">
      <c r="B72" s="267"/>
      <c r="C72" s="267"/>
    </row>
    <row r="73" spans="2:11" s="60" customFormat="1" ht="15" hidden="1" customHeight="1" x14ac:dyDescent="0.2">
      <c r="B73" s="267"/>
      <c r="C73" s="267"/>
    </row>
    <row r="74" spans="2:11" s="60" customFormat="1" ht="15" hidden="1" customHeight="1" x14ac:dyDescent="0.2">
      <c r="B74" s="267"/>
      <c r="C74" s="267"/>
    </row>
    <row r="75" spans="2:11" s="60" customFormat="1" ht="15" hidden="1" customHeight="1" x14ac:dyDescent="0.2">
      <c r="B75" s="267"/>
      <c r="C75" s="267"/>
    </row>
    <row r="76" spans="2:11" s="60" customFormat="1" ht="15" hidden="1" customHeight="1" x14ac:dyDescent="0.2">
      <c r="B76" s="267"/>
      <c r="C76" s="267"/>
    </row>
    <row r="77" spans="2:11" s="60" customFormat="1" ht="15" hidden="1" customHeight="1" x14ac:dyDescent="0.2">
      <c r="B77" s="267"/>
      <c r="C77" s="267"/>
    </row>
    <row r="78" spans="2:11" s="60" customFormat="1" ht="15" hidden="1" customHeight="1" x14ac:dyDescent="0.2">
      <c r="B78" s="267"/>
      <c r="C78" s="267"/>
    </row>
    <row r="79" spans="2:11" s="60" customFormat="1" ht="15" hidden="1" customHeight="1" x14ac:dyDescent="0.2">
      <c r="B79" s="267"/>
      <c r="C79" s="266"/>
      <c r="D79" s="266"/>
      <c r="E79" s="266"/>
      <c r="F79" s="266"/>
      <c r="G79" s="266"/>
      <c r="H79" s="266"/>
      <c r="I79" s="266"/>
      <c r="J79" s="266"/>
      <c r="K79" s="266"/>
    </row>
    <row r="80" spans="2:11" s="60" customFormat="1" ht="15" hidden="1" customHeight="1" x14ac:dyDescent="0.2">
      <c r="B80" s="267"/>
      <c r="C80" s="266"/>
      <c r="D80" s="266"/>
      <c r="E80" s="266"/>
      <c r="F80" s="266"/>
      <c r="G80" s="266"/>
      <c r="H80" s="266"/>
      <c r="I80" s="266"/>
      <c r="J80" s="266"/>
      <c r="K80" s="266"/>
    </row>
    <row r="81" spans="2:11" s="60" customFormat="1" ht="15" hidden="1" customHeight="1" x14ac:dyDescent="0.2">
      <c r="B81" s="267"/>
      <c r="C81" s="266"/>
      <c r="D81" s="266"/>
      <c r="E81" s="266"/>
      <c r="F81" s="266"/>
      <c r="G81" s="266"/>
      <c r="H81" s="266"/>
      <c r="I81" s="266"/>
      <c r="J81" s="266"/>
      <c r="K81" s="266"/>
    </row>
    <row r="82" spans="2:11" s="60" customFormat="1" ht="15" hidden="1" customHeight="1" x14ac:dyDescent="0.2">
      <c r="B82" s="267"/>
      <c r="C82" s="266"/>
      <c r="D82" s="266"/>
      <c r="E82" s="266"/>
      <c r="F82" s="266"/>
      <c r="G82" s="266"/>
      <c r="H82" s="266"/>
      <c r="I82" s="266"/>
      <c r="J82" s="266"/>
      <c r="K82" s="266"/>
    </row>
    <row r="83" spans="2:11" s="60" customFormat="1" ht="15" hidden="1" customHeight="1" x14ac:dyDescent="0.2">
      <c r="B83" s="267"/>
      <c r="C83" s="266"/>
      <c r="D83" s="266"/>
      <c r="E83" s="266"/>
      <c r="F83" s="266"/>
      <c r="G83" s="266"/>
      <c r="H83" s="266"/>
      <c r="I83" s="266"/>
      <c r="J83" s="266"/>
      <c r="K83" s="266"/>
    </row>
    <row r="84" spans="2:11" s="60" customFormat="1" ht="15" hidden="1" customHeight="1" x14ac:dyDescent="0.2">
      <c r="B84" s="267"/>
      <c r="C84" s="266"/>
      <c r="D84" s="266"/>
      <c r="E84" s="266"/>
      <c r="F84" s="266"/>
      <c r="G84" s="266"/>
      <c r="H84" s="266"/>
      <c r="I84" s="266"/>
      <c r="J84" s="266"/>
      <c r="K84" s="266"/>
    </row>
    <row r="85" spans="2:11" s="60" customFormat="1" ht="15" hidden="1" customHeight="1" x14ac:dyDescent="0.2">
      <c r="B85" s="267"/>
      <c r="C85" s="266"/>
      <c r="D85" s="266"/>
      <c r="E85" s="266"/>
      <c r="F85" s="266"/>
      <c r="G85" s="266"/>
      <c r="H85" s="266"/>
      <c r="I85" s="266"/>
      <c r="J85" s="266"/>
      <c r="K85" s="266"/>
    </row>
    <row r="86" spans="2:11" s="60" customFormat="1" ht="15" hidden="1" customHeight="1" x14ac:dyDescent="0.2">
      <c r="B86" s="267"/>
      <c r="C86" s="266"/>
      <c r="D86" s="266"/>
      <c r="E86" s="266"/>
      <c r="F86" s="266"/>
      <c r="G86" s="266"/>
      <c r="H86" s="266"/>
      <c r="I86" s="266"/>
      <c r="J86" s="266"/>
      <c r="K86" s="266"/>
    </row>
    <row r="87" spans="2:11" ht="15" hidden="1" customHeight="1" x14ac:dyDescent="0.2"/>
    <row r="88" spans="2:11" ht="15" hidden="1" customHeight="1" x14ac:dyDescent="0.2"/>
    <row r="89" spans="2:11" ht="15" hidden="1" customHeight="1" x14ac:dyDescent="0.2"/>
    <row r="90" spans="2:11" ht="15" hidden="1" customHeight="1" x14ac:dyDescent="0.2"/>
    <row r="91" spans="2:11" ht="15" customHeight="1" x14ac:dyDescent="0.2"/>
  </sheetData>
  <sheetProtection algorithmName="SHA-512" hashValue="gLnUiCBvBsFv2lR5/5hRUb2+rZQ43Q2AN/NOGeHLUgNu661ojN558PhTDJ0Ysq0vZihUUPLjkE1IHUViVe5Ugg==" saltValue="puXp3CspFYJQ6NEocA+yxA==" spinCount="100000" sheet="1" objects="1" scenarios="1" selectLockedCells="1"/>
  <mergeCells count="4">
    <mergeCell ref="H51:J51"/>
    <mergeCell ref="E48:F48"/>
    <mergeCell ref="C6:N6"/>
    <mergeCell ref="E8:M8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4294967295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9">
    <pageSetUpPr fitToPage="1"/>
  </sheetPr>
  <dimension ref="A1:W51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2160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16" ht="15" customHeight="1" x14ac:dyDescent="0.2">
      <c r="C8" s="27"/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>
      <c r="C9" s="27"/>
      <c r="D9" s="27"/>
      <c r="E9" s="27"/>
      <c r="F9" s="27"/>
      <c r="G9" s="27"/>
      <c r="H9" s="27"/>
      <c r="I9" s="27"/>
      <c r="J9" s="27"/>
      <c r="K9" s="27"/>
    </row>
    <row r="10" spans="1:16" ht="15" customHeight="1" x14ac:dyDescent="0.2"/>
    <row r="11" spans="1:16" ht="15" customHeight="1" x14ac:dyDescent="0.2">
      <c r="D11" s="266" t="s">
        <v>1208</v>
      </c>
      <c r="G11" s="273" t="s">
        <v>808</v>
      </c>
      <c r="H11" s="208"/>
      <c r="I11" s="27"/>
      <c r="J11" s="299"/>
      <c r="K11" s="27"/>
      <c r="M11" s="27"/>
      <c r="N11" s="27"/>
    </row>
    <row r="12" spans="1:16" ht="15" customHeight="1" x14ac:dyDescent="0.2">
      <c r="H12" s="208"/>
      <c r="I12" s="27"/>
      <c r="J12" s="299"/>
      <c r="K12" s="27"/>
      <c r="M12" s="27"/>
      <c r="N12" s="27"/>
    </row>
    <row r="13" spans="1:16" ht="15" customHeight="1" x14ac:dyDescent="0.2">
      <c r="D13" s="49" t="s">
        <v>1703</v>
      </c>
      <c r="G13" s="237">
        <v>5</v>
      </c>
      <c r="H13" s="356" t="s">
        <v>1953</v>
      </c>
      <c r="M13" s="27"/>
      <c r="N13" s="27"/>
    </row>
    <row r="14" spans="1:16" ht="15" customHeight="1" x14ac:dyDescent="0.2">
      <c r="G14" s="237">
        <v>150</v>
      </c>
      <c r="H14" s="356" t="s">
        <v>1933</v>
      </c>
      <c r="M14" s="27"/>
      <c r="N14" s="27"/>
    </row>
    <row r="15" spans="1:16" ht="15" customHeight="1" x14ac:dyDescent="0.2">
      <c r="G15" s="7">
        <v>8.9499999999999993</v>
      </c>
      <c r="H15" s="356" t="s">
        <v>1934</v>
      </c>
      <c r="M15" s="27"/>
      <c r="N15" s="27"/>
    </row>
    <row r="16" spans="1:16" ht="15" customHeight="1" x14ac:dyDescent="0.2">
      <c r="G16" s="10">
        <v>40</v>
      </c>
      <c r="H16" s="356" t="s">
        <v>1929</v>
      </c>
      <c r="M16" s="27"/>
      <c r="N16" s="27"/>
    </row>
    <row r="17" spans="4:23" ht="15" customHeight="1" x14ac:dyDescent="0.2">
      <c r="G17" s="265"/>
      <c r="H17" s="49"/>
      <c r="M17" s="27"/>
      <c r="N17" s="27"/>
    </row>
    <row r="18" spans="4:23" ht="15" customHeight="1" x14ac:dyDescent="0.2">
      <c r="D18" s="266" t="s">
        <v>340</v>
      </c>
      <c r="G18" s="237">
        <v>90</v>
      </c>
      <c r="H18" s="49" t="s">
        <v>341</v>
      </c>
      <c r="M18" s="27"/>
      <c r="N18" s="27"/>
    </row>
    <row r="19" spans="4:23" ht="15" customHeight="1" x14ac:dyDescent="0.2">
      <c r="H19" s="49"/>
      <c r="M19" s="27"/>
      <c r="N19" s="27"/>
    </row>
    <row r="20" spans="4:23" ht="15" customHeight="1" x14ac:dyDescent="0.25">
      <c r="D20" s="291" t="s">
        <v>350</v>
      </c>
      <c r="E20" s="291"/>
      <c r="F20" s="291"/>
      <c r="G20" s="291"/>
      <c r="H20" s="302"/>
      <c r="I20" s="27"/>
      <c r="M20" s="27"/>
      <c r="N20" s="27"/>
    </row>
    <row r="21" spans="4:23" ht="15" customHeight="1" x14ac:dyDescent="0.25">
      <c r="D21" s="277" t="s">
        <v>573</v>
      </c>
      <c r="E21" s="309"/>
      <c r="F21" s="309"/>
      <c r="G21" s="309"/>
      <c r="H21" s="49"/>
      <c r="M21" s="27"/>
      <c r="N21" s="27"/>
    </row>
    <row r="22" spans="4:23" ht="15" customHeight="1" x14ac:dyDescent="0.2">
      <c r="D22" s="298" t="s">
        <v>1708</v>
      </c>
      <c r="E22" s="267"/>
      <c r="G22" s="286">
        <f>IF((G15*(70-G16)/G18)&gt;0,G15*(70-G16)/G18,0)</f>
        <v>2.9833333333333334</v>
      </c>
      <c r="H22" s="357" t="s">
        <v>349</v>
      </c>
      <c r="I22" s="303"/>
      <c r="J22" s="213"/>
      <c r="K22" s="213"/>
      <c r="L22" s="220"/>
      <c r="M22" s="213"/>
      <c r="N22" s="213"/>
    </row>
    <row r="23" spans="4:23" s="213" customFormat="1" ht="15" customHeight="1" x14ac:dyDescent="0.2">
      <c r="D23" s="266"/>
      <c r="E23" s="266"/>
      <c r="G23" s="222"/>
      <c r="H23" s="49"/>
      <c r="I23" s="266"/>
      <c r="J23" s="266"/>
      <c r="K23" s="266"/>
      <c r="L23" s="266"/>
      <c r="M23" s="266"/>
      <c r="N23" s="266"/>
    </row>
    <row r="24" spans="4:23" ht="15" customHeight="1" x14ac:dyDescent="0.2">
      <c r="D24" s="169" t="s">
        <v>2163</v>
      </c>
      <c r="G24" s="224">
        <v>8</v>
      </c>
      <c r="H24" s="170" t="s">
        <v>2161</v>
      </c>
      <c r="I24" s="221"/>
      <c r="L24" s="208"/>
      <c r="M24" s="27"/>
      <c r="N24" s="27"/>
    </row>
    <row r="25" spans="4:23" ht="15" customHeight="1" x14ac:dyDescent="0.2">
      <c r="G25" s="224" t="str">
        <f>IF(G13&lt;20,"230",IF(AND(G13&gt;=20,G13&lt;60),"180",IF(AND(G13&gt;=60,G13&lt;100),"130",IF(AND(G13&gt;=100,G13&lt;150),"80",0))))</f>
        <v>230</v>
      </c>
      <c r="H25" s="49" t="s">
        <v>717</v>
      </c>
      <c r="I25" s="303"/>
      <c r="J25" s="218"/>
      <c r="K25" s="271"/>
      <c r="L25" s="263"/>
      <c r="M25" s="27"/>
      <c r="N25" s="27"/>
    </row>
    <row r="26" spans="4:23" ht="15" customHeight="1" x14ac:dyDescent="0.2">
      <c r="G26" s="224">
        <v>10</v>
      </c>
      <c r="H26" s="49" t="s">
        <v>2162</v>
      </c>
      <c r="I26" s="208"/>
      <c r="J26" s="218"/>
      <c r="K26" s="27"/>
      <c r="L26" s="263"/>
      <c r="M26" s="263"/>
      <c r="N26" s="263"/>
    </row>
    <row r="27" spans="4:23" ht="15" customHeight="1" x14ac:dyDescent="0.2">
      <c r="G27" s="169"/>
      <c r="H27" s="49"/>
      <c r="L27" s="263"/>
      <c r="M27" s="263"/>
      <c r="N27" s="263"/>
    </row>
    <row r="28" spans="4:23" ht="15" customHeight="1" x14ac:dyDescent="0.2">
      <c r="D28" s="169" t="s">
        <v>342</v>
      </c>
      <c r="G28" s="224">
        <v>15</v>
      </c>
      <c r="H28" s="49" t="str">
        <f>"g/m2 de "&amp;W28&amp;" aos 15 dias do plantio."</f>
        <v>g/m2 de 20-00-15 aos 15 dias do plantio.</v>
      </c>
      <c r="J28" s="307"/>
      <c r="L28" s="263"/>
      <c r="M28" s="263"/>
      <c r="N28" s="263"/>
      <c r="W28" s="171" t="str">
        <f>IF(G14&lt;80,"20-00-30",IF(AND(G14&gt;=80,G14&lt;150),"20-00-20",IF(AND(G14&gt;=150,G14&lt;200),"20-00-15",IF(AND(G14&gt;=200,G14&lt;280),"20-00-10","Sulf. Amônio"))))</f>
        <v>20-00-15</v>
      </c>
    </row>
    <row r="29" spans="4:23" ht="15" customHeight="1" x14ac:dyDescent="0.2">
      <c r="G29" s="224">
        <v>20</v>
      </c>
      <c r="H29" s="49" t="str">
        <f>"g/m2 de "&amp;W28&amp;" aos 30 dias do plantio."</f>
        <v>g/m2 de 20-00-15 aos 30 dias do plantio.</v>
      </c>
      <c r="M29" s="263"/>
      <c r="N29" s="263"/>
      <c r="O29" s="222"/>
      <c r="P29" s="308"/>
      <c r="R29" s="263"/>
    </row>
    <row r="30" spans="4:23" ht="15" customHeight="1" x14ac:dyDescent="0.2">
      <c r="D30" s="27"/>
      <c r="E30" s="27"/>
      <c r="G30" s="224">
        <v>25</v>
      </c>
      <c r="H30" s="49" t="str">
        <f>"g/m2 de "&amp;W28&amp;" aos 40 dias do plantio."</f>
        <v>g/m2 de 20-00-15 aos 40 dias do plantio.</v>
      </c>
      <c r="M30" s="27"/>
      <c r="N30" s="27"/>
      <c r="O30" s="222"/>
      <c r="P30" s="308"/>
      <c r="R30" s="27"/>
    </row>
    <row r="31" spans="4:23" ht="15" customHeight="1" x14ac:dyDescent="0.2">
      <c r="D31" s="27"/>
      <c r="E31" s="27"/>
      <c r="G31" s="224"/>
      <c r="I31" s="222"/>
      <c r="J31" s="308"/>
      <c r="L31" s="27"/>
      <c r="M31" s="27"/>
      <c r="N31" s="27"/>
    </row>
    <row r="32" spans="4:23" ht="15" customHeight="1" x14ac:dyDescent="0.2">
      <c r="D32" s="27"/>
      <c r="E32" s="27"/>
      <c r="L32" s="27"/>
      <c r="M32" s="27"/>
      <c r="N32" s="27"/>
    </row>
    <row r="33" spans="1:14" ht="15" customHeight="1" x14ac:dyDescent="0.2">
      <c r="D33" s="27"/>
      <c r="E33" s="27"/>
      <c r="F33" s="224"/>
      <c r="H33" s="221"/>
      <c r="I33" s="308"/>
      <c r="L33" s="27"/>
      <c r="M33" s="27"/>
      <c r="N33" s="27"/>
    </row>
    <row r="34" spans="1:14" ht="15" customHeight="1" x14ac:dyDescent="0.2">
      <c r="D34" s="169"/>
      <c r="M34" s="27"/>
      <c r="N34" s="27"/>
    </row>
    <row r="35" spans="1:14" ht="15" customHeight="1" x14ac:dyDescent="0.2">
      <c r="M35" s="27"/>
      <c r="N35" s="27"/>
    </row>
    <row r="36" spans="1:14" ht="15" customHeight="1" x14ac:dyDescent="0.2">
      <c r="M36" s="27"/>
      <c r="N36" s="27"/>
    </row>
    <row r="37" spans="1:14" ht="15" customHeight="1" x14ac:dyDescent="0.2">
      <c r="M37" s="27"/>
      <c r="N37" s="27"/>
    </row>
    <row r="38" spans="1:14" ht="15" customHeight="1" x14ac:dyDescent="0.2"/>
    <row r="39" spans="1:14" ht="15" customHeight="1" x14ac:dyDescent="0.2">
      <c r="D39" s="225" t="s">
        <v>891</v>
      </c>
      <c r="E39" s="717">
        <f ca="1">TODAY()</f>
        <v>45064</v>
      </c>
      <c r="F39" s="714"/>
      <c r="G39" s="60" t="s">
        <v>373</v>
      </c>
    </row>
    <row r="40" spans="1:14" ht="15" customHeight="1" x14ac:dyDescent="0.2"/>
    <row r="41" spans="1:14" s="60" customFormat="1" ht="15" hidden="1" customHeight="1" x14ac:dyDescent="0.2">
      <c r="C41" s="296"/>
      <c r="D41" s="266"/>
      <c r="E41" s="266"/>
      <c r="F41" s="266"/>
      <c r="G41" s="266"/>
      <c r="H41" s="266"/>
      <c r="I41" s="266"/>
      <c r="J41" s="266"/>
      <c r="K41" s="266"/>
      <c r="L41" s="266"/>
    </row>
    <row r="42" spans="1:14" s="60" customFormat="1" ht="15" hidden="1" customHeight="1" x14ac:dyDescent="0.2">
      <c r="C42" s="296"/>
      <c r="D42" s="267"/>
      <c r="E42" s="296"/>
      <c r="F42" s="296"/>
      <c r="G42" s="296"/>
      <c r="H42" s="296"/>
      <c r="I42" s="296"/>
      <c r="J42" s="296"/>
      <c r="K42" s="296"/>
    </row>
    <row r="43" spans="1:14" s="60" customFormat="1" ht="15" hidden="1" customHeight="1" x14ac:dyDescent="0.2">
      <c r="C43" s="296"/>
      <c r="D43" s="266"/>
      <c r="E43" s="296"/>
      <c r="F43" s="296"/>
      <c r="G43" s="296"/>
      <c r="H43" s="296"/>
      <c r="I43" s="296"/>
      <c r="J43" s="296"/>
      <c r="K43" s="296"/>
    </row>
    <row r="44" spans="1:14" s="60" customFormat="1" ht="15" hidden="1" customHeight="1" x14ac:dyDescent="0.2">
      <c r="C44" s="296"/>
      <c r="D44" s="267"/>
      <c r="E44" s="296"/>
      <c r="F44" s="296"/>
      <c r="G44" s="296"/>
      <c r="H44" s="296"/>
      <c r="I44" s="296"/>
      <c r="J44" s="296"/>
      <c r="K44" s="296"/>
    </row>
    <row r="45" spans="1:14" s="60" customFormat="1" ht="15" hidden="1" customHeight="1" x14ac:dyDescent="0.2">
      <c r="C45" s="296"/>
      <c r="D45" s="267"/>
      <c r="E45" s="296"/>
      <c r="F45" s="296"/>
      <c r="G45" s="296"/>
      <c r="H45" s="296"/>
      <c r="I45" s="296"/>
      <c r="J45" s="296"/>
      <c r="K45" s="296"/>
    </row>
    <row r="46" spans="1:14" s="60" customFormat="1" ht="15" hidden="1" customHeight="1" x14ac:dyDescent="0.2">
      <c r="C46" s="296"/>
      <c r="D46" s="267"/>
      <c r="E46" s="296"/>
      <c r="F46" s="296"/>
      <c r="G46" s="296"/>
      <c r="H46" s="296"/>
      <c r="I46" s="296"/>
      <c r="J46" s="296"/>
      <c r="K46" s="296"/>
    </row>
    <row r="47" spans="1:14" s="60" customFormat="1" ht="15" hidden="1" customHeight="1" x14ac:dyDescent="0.2">
      <c r="C47" s="296"/>
      <c r="E47" s="266"/>
      <c r="F47" s="266"/>
      <c r="G47" s="266"/>
      <c r="H47" s="296"/>
      <c r="I47" s="296"/>
      <c r="J47" s="296"/>
      <c r="K47" s="296"/>
    </row>
    <row r="48" spans="1:14" ht="15" hidden="1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2:7" ht="15" hidden="1" customHeight="1" x14ac:dyDescent="0.2"/>
    <row r="50" spans="2:7" s="60" customFormat="1" ht="15" hidden="1" customHeight="1" x14ac:dyDescent="0.2">
      <c r="B50" s="267"/>
      <c r="G50" s="33"/>
    </row>
    <row r="51" spans="2:7" ht="15" hidden="1" customHeight="1" x14ac:dyDescent="0.2">
      <c r="C51" s="267"/>
      <c r="D51" s="267"/>
      <c r="E51" s="60"/>
      <c r="F51" s="60"/>
    </row>
  </sheetData>
  <sheetProtection algorithmName="SHA-512" hashValue="LaDBIPnFUMjtCrYsVvWf0OQOnTkSpgbVExrq4cXl0XuFjrLQhlHlEfcxdV74JVwEdURH025z8FMFRSPpQiyz+g==" saltValue="zMknSiXQjQaQKPQ1SuRAoA==" spinCount="100000" sheet="1" objects="1" scenarios="1" selectLockedCells="1"/>
  <mergeCells count="3">
    <mergeCell ref="C6:N6"/>
    <mergeCell ref="E8:M8"/>
    <mergeCell ref="E39:F39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0">
    <pageSetUpPr fitToPage="1"/>
  </sheetPr>
  <dimension ref="A1:Z58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2164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16" ht="15" customHeight="1" x14ac:dyDescent="0.2">
      <c r="A8" s="27"/>
      <c r="B8" s="27"/>
      <c r="C8" s="27"/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>
      <c r="A9" s="27"/>
    </row>
    <row r="10" spans="1:16" ht="15" customHeight="1" x14ac:dyDescent="0.2">
      <c r="A10" s="27"/>
      <c r="B10" s="27"/>
      <c r="C10" s="27"/>
    </row>
    <row r="11" spans="1:16" ht="15" customHeight="1" x14ac:dyDescent="0.2">
      <c r="D11" s="266" t="s">
        <v>1208</v>
      </c>
      <c r="G11" s="237">
        <v>4</v>
      </c>
      <c r="H11" s="266" t="s">
        <v>2070</v>
      </c>
      <c r="I11" s="5">
        <v>3</v>
      </c>
      <c r="J11" s="266" t="s">
        <v>2165</v>
      </c>
      <c r="K11" s="218">
        <f>10000/(G11*I11)</f>
        <v>833.33333333333337</v>
      </c>
      <c r="L11" s="266" t="s">
        <v>353</v>
      </c>
    </row>
    <row r="12" spans="1:16" ht="15" customHeight="1" x14ac:dyDescent="0.2">
      <c r="G12" s="265"/>
      <c r="H12" s="271"/>
      <c r="I12" s="271"/>
    </row>
    <row r="13" spans="1:16" ht="15" customHeight="1" x14ac:dyDescent="0.2">
      <c r="D13" s="266" t="s">
        <v>1703</v>
      </c>
      <c r="G13" s="237">
        <v>15</v>
      </c>
      <c r="H13" s="356" t="s">
        <v>1953</v>
      </c>
      <c r="I13" s="271"/>
    </row>
    <row r="14" spans="1:16" ht="15" customHeight="1" x14ac:dyDescent="0.2">
      <c r="G14" s="237">
        <v>150</v>
      </c>
      <c r="H14" s="356" t="s">
        <v>1933</v>
      </c>
      <c r="I14" s="271"/>
    </row>
    <row r="15" spans="1:16" ht="15" customHeight="1" x14ac:dyDescent="0.2">
      <c r="G15" s="237">
        <v>9</v>
      </c>
      <c r="H15" s="356" t="s">
        <v>1934</v>
      </c>
      <c r="I15" s="271"/>
    </row>
    <row r="16" spans="1:16" ht="15" customHeight="1" x14ac:dyDescent="0.2">
      <c r="G16" s="237">
        <v>40</v>
      </c>
      <c r="H16" s="356" t="s">
        <v>1929</v>
      </c>
      <c r="I16" s="271"/>
    </row>
    <row r="17" spans="4:25" ht="15" customHeight="1" x14ac:dyDescent="0.2">
      <c r="G17" s="265"/>
      <c r="I17" s="271"/>
    </row>
    <row r="18" spans="4:25" ht="15" customHeight="1" x14ac:dyDescent="0.2">
      <c r="D18" s="266" t="s">
        <v>340</v>
      </c>
      <c r="G18" s="237">
        <v>90</v>
      </c>
      <c r="H18" s="49" t="s">
        <v>341</v>
      </c>
      <c r="I18" s="271"/>
    </row>
    <row r="19" spans="4:25" ht="15" customHeight="1" x14ac:dyDescent="0.2">
      <c r="F19" s="265"/>
    </row>
    <row r="20" spans="4:25" ht="15" customHeight="1" x14ac:dyDescent="0.25">
      <c r="D20" s="860" t="s">
        <v>350</v>
      </c>
      <c r="E20" s="860"/>
      <c r="F20" s="860"/>
      <c r="G20" s="860"/>
      <c r="H20" s="860"/>
      <c r="I20" s="27"/>
    </row>
    <row r="21" spans="4:25" ht="15" customHeight="1" x14ac:dyDescent="0.25">
      <c r="D21" s="277" t="s">
        <v>573</v>
      </c>
      <c r="E21" s="309"/>
      <c r="F21" s="309"/>
      <c r="G21" s="309"/>
    </row>
    <row r="22" spans="4:25" s="213" customFormat="1" ht="15" customHeight="1" x14ac:dyDescent="0.2">
      <c r="D22" s="298" t="s">
        <v>1708</v>
      </c>
      <c r="E22" s="267"/>
      <c r="G22" s="286">
        <f>IF((G15*(70-G16)/G18)&gt;0,G15*(70-G16)/G18,0)</f>
        <v>3</v>
      </c>
      <c r="H22" s="357" t="s">
        <v>349</v>
      </c>
      <c r="L22" s="220"/>
    </row>
    <row r="23" spans="4:25" ht="15" customHeight="1" x14ac:dyDescent="0.2">
      <c r="F23" s="222"/>
    </row>
    <row r="24" spans="4:25" ht="15" customHeight="1" x14ac:dyDescent="0.2">
      <c r="D24" s="49" t="s">
        <v>1696</v>
      </c>
      <c r="G24" s="222">
        <v>20</v>
      </c>
      <c r="H24" s="170" t="str">
        <f>"g/cova de "&amp;W25&amp;" ou 10 L/cova esterco bovino."</f>
        <v>g/cova de 20-00-15 ou 10 L/cova esterco bovino.</v>
      </c>
      <c r="Y24" s="263"/>
    </row>
    <row r="25" spans="4:25" ht="15" customHeight="1" x14ac:dyDescent="0.2">
      <c r="G25" s="224" t="str">
        <f>IF(G13&lt;20,"230",IF(AND(G13&gt;=20,G13&lt;60),"180",IF(AND(G13&gt;=60,G13&lt;100),"130",IF(AND(G13&gt;=100,G13&lt;150),"80",0))))</f>
        <v>230</v>
      </c>
      <c r="H25" s="49" t="s">
        <v>1714</v>
      </c>
      <c r="I25" s="218"/>
      <c r="J25" s="271"/>
      <c r="K25" s="271"/>
      <c r="W25" s="171" t="str">
        <f>IF(G14&lt;80,"20-00-30",IF(AND(G14&gt;=80,G14&lt;150),"20-00-20",IF(AND(G14&gt;=150,G14&lt;200),"20-00-15",IF(AND(G14&gt;=200,G14&lt;280),"20-00-10","Sulf. Amônio"))))</f>
        <v>20-00-15</v>
      </c>
      <c r="X25" s="26"/>
      <c r="Y25" s="263"/>
    </row>
    <row r="26" spans="4:25" ht="15" customHeight="1" x14ac:dyDescent="0.2">
      <c r="G26" s="224">
        <v>10</v>
      </c>
      <c r="H26" s="49" t="s">
        <v>2166</v>
      </c>
      <c r="I26" s="218"/>
      <c r="J26" s="306"/>
      <c r="K26" s="27"/>
      <c r="L26" s="263"/>
      <c r="M26" s="27"/>
      <c r="N26" s="263"/>
    </row>
    <row r="27" spans="4:25" ht="15" customHeight="1" x14ac:dyDescent="0.2">
      <c r="F27" s="289"/>
      <c r="G27" s="271"/>
      <c r="H27" s="297"/>
      <c r="I27" s="310"/>
      <c r="N27" s="265"/>
    </row>
    <row r="28" spans="4:25" ht="15" customHeight="1" x14ac:dyDescent="0.2">
      <c r="D28" s="169" t="s">
        <v>852</v>
      </c>
      <c r="E28" s="169"/>
      <c r="F28" s="169"/>
      <c r="H28" s="169"/>
      <c r="N28" s="263"/>
    </row>
    <row r="29" spans="4:25" ht="15" customHeight="1" x14ac:dyDescent="0.2">
      <c r="D29" s="169"/>
      <c r="E29" s="213" t="str">
        <f>"20 dias após o plantio, 30 g/planta de "&amp;W25&amp;" ."</f>
        <v>20 dias após o plantio, 30 g/planta de 20-00-15 .</v>
      </c>
      <c r="F29" s="169"/>
      <c r="G29" s="222"/>
      <c r="H29" s="170"/>
      <c r="I29" s="277"/>
      <c r="N29" s="263"/>
    </row>
    <row r="30" spans="4:25" ht="15" customHeight="1" x14ac:dyDescent="0.2">
      <c r="D30" s="169"/>
      <c r="E30" s="213" t="str">
        <f>"40 dias após o plantio, 40 g/planta de "&amp;W25&amp;" ."</f>
        <v>40 dias após o plantio, 40 g/planta de 20-00-15 .</v>
      </c>
      <c r="F30" s="169"/>
      <c r="G30" s="222"/>
      <c r="H30" s="305"/>
      <c r="I30" s="277"/>
      <c r="N30" s="263"/>
      <c r="W30" s="171"/>
      <c r="X30" s="26"/>
    </row>
    <row r="31" spans="4:25" ht="15" customHeight="1" x14ac:dyDescent="0.2">
      <c r="I31" s="308"/>
      <c r="N31" s="263"/>
    </row>
    <row r="32" spans="4:25" ht="15" customHeight="1" x14ac:dyDescent="0.2">
      <c r="D32" s="169" t="s">
        <v>928</v>
      </c>
      <c r="E32" s="169"/>
      <c r="I32" s="308"/>
      <c r="N32" s="263"/>
    </row>
    <row r="33" spans="3:14" ht="15" customHeight="1" x14ac:dyDescent="0.2">
      <c r="E33" s="49" t="str">
        <f>"Aplicar  mensalmente 150 g/planta de "&amp;W25&amp;" ."</f>
        <v>Aplicar  mensalmente 150 g/planta de 20-00-15 .</v>
      </c>
      <c r="I33" s="308"/>
      <c r="N33" s="263"/>
    </row>
    <row r="34" spans="3:14" ht="15" customHeight="1" x14ac:dyDescent="0.2">
      <c r="E34" s="49" t="s">
        <v>2167</v>
      </c>
      <c r="H34" s="277"/>
      <c r="N34" s="263"/>
    </row>
    <row r="35" spans="3:14" ht="15" customHeight="1" x14ac:dyDescent="0.2">
      <c r="I35" s="308"/>
      <c r="N35" s="263"/>
    </row>
    <row r="36" spans="3:14" ht="15" customHeight="1" x14ac:dyDescent="0.2">
      <c r="I36" s="308"/>
      <c r="N36" s="263"/>
    </row>
    <row r="37" spans="3:14" ht="15" customHeight="1" x14ac:dyDescent="0.2">
      <c r="I37" s="308"/>
      <c r="N37" s="263"/>
    </row>
    <row r="38" spans="3:14" ht="15" customHeight="1" x14ac:dyDescent="0.2">
      <c r="D38" s="169"/>
    </row>
    <row r="39" spans="3:14" ht="15" customHeight="1" x14ac:dyDescent="0.2"/>
    <row r="40" spans="3:14" ht="15" customHeight="1" x14ac:dyDescent="0.2"/>
    <row r="41" spans="3:14" ht="15" customHeight="1" x14ac:dyDescent="0.2"/>
    <row r="42" spans="3:14" ht="15" customHeight="1" x14ac:dyDescent="0.2"/>
    <row r="43" spans="3:14" s="60" customFormat="1" ht="15" customHeight="1" x14ac:dyDescent="0.2">
      <c r="C43" s="296"/>
      <c r="D43" s="226" t="s">
        <v>891</v>
      </c>
      <c r="E43" s="717">
        <f ca="1">TODAY()</f>
        <v>45064</v>
      </c>
      <c r="F43" s="714"/>
      <c r="G43" s="296" t="s">
        <v>373</v>
      </c>
      <c r="H43" s="296"/>
      <c r="I43" s="296"/>
      <c r="J43" s="296"/>
      <c r="K43" s="296"/>
    </row>
    <row r="44" spans="3:14" s="60" customFormat="1" ht="15" customHeight="1" x14ac:dyDescent="0.2">
      <c r="C44" s="296"/>
      <c r="D44" s="267"/>
      <c r="E44" s="296"/>
      <c r="F44" s="296"/>
      <c r="G44" s="296"/>
      <c r="I44" s="296"/>
      <c r="J44" s="296"/>
      <c r="K44" s="296"/>
    </row>
    <row r="45" spans="3:14" s="60" customFormat="1" ht="15" hidden="1" customHeight="1" x14ac:dyDescent="0.2">
      <c r="C45" s="296"/>
      <c r="D45" s="267"/>
      <c r="E45" s="296"/>
      <c r="F45" s="296"/>
      <c r="G45" s="296"/>
      <c r="H45" s="296"/>
      <c r="I45" s="296"/>
      <c r="J45" s="296"/>
      <c r="K45" s="296"/>
    </row>
    <row r="46" spans="3:14" ht="15" hidden="1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</row>
    <row r="47" spans="3:14" ht="15" hidden="1" customHeight="1" x14ac:dyDescent="0.2"/>
    <row r="48" spans="3:14" s="60" customFormat="1" ht="15" hidden="1" customHeight="1" x14ac:dyDescent="0.2">
      <c r="D48" s="267"/>
      <c r="I48" s="111"/>
    </row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</sheetData>
  <sheetProtection algorithmName="SHA-512" hashValue="5ZqEsenuKd4TAxu+lM2Pd6qupNwKI3eKDXYDUGROfpGv7lecQHKTzBfD14VmIsPKNGZIBey09L9P6z+coomAHA==" saltValue="mMUkpwZtur5QvNWzXCzJKA==" spinCount="100000" sheet="1" objects="1" scenarios="1" selectLockedCells="1"/>
  <mergeCells count="4">
    <mergeCell ref="C6:N6"/>
    <mergeCell ref="D20:H20"/>
    <mergeCell ref="E8:M8"/>
    <mergeCell ref="E43:F43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1">
    <pageSetUpPr fitToPage="1"/>
  </sheetPr>
  <dimension ref="A1:P25"/>
  <sheetViews>
    <sheetView showGridLines="0" showRowColHeaders="0" zoomScaleNormal="100" zoomScaleSheetLayoutView="10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2213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264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HYPERLINK("#"&amp;"'Citrus1a2'!h1","Formação - 1 a 2 anos")</f>
        <v>Formação - 1 a 2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HYPERLINK("#"&amp;"'Citrus3a5'!h1","Formação - 3 a 5 anos")</f>
        <v>Formação - 3 a 5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HYPERLINK("#"&amp;"'CitrusProd'!h1","Produção (6° ano em diante)")</f>
        <v>Produção (6° ano em diante)</v>
      </c>
      <c r="G12" s="711"/>
      <c r="H12" s="711"/>
      <c r="I12" s="711"/>
      <c r="J12" s="711"/>
    </row>
    <row r="13" spans="1:16" s="32" customFormat="1" ht="24.95" customHeight="1" thickTop="1" thickBot="1" x14ac:dyDescent="0.4">
      <c r="D13" s="35"/>
      <c r="F13" s="711" t="str">
        <f>HYPERLINK("#"&amp;"'CitrusCusteio'!h1","Custeio Simplificado")</f>
        <v>Custeio Simplificado</v>
      </c>
      <c r="G13" s="711"/>
      <c r="H13" s="711"/>
      <c r="I13" s="711"/>
      <c r="J13" s="711"/>
    </row>
    <row r="14" spans="1:16" ht="24.95" customHeight="1" thickTop="1" x14ac:dyDescent="0.2">
      <c r="D14" s="36"/>
    </row>
    <row r="15" spans="1:16" ht="24.95" hidden="1" customHeight="1" x14ac:dyDescent="0.2"/>
    <row r="16" spans="1:16" ht="24.95" hidden="1" customHeight="1" x14ac:dyDescent="0.2"/>
    <row r="17" ht="24.95" hidden="1" customHeight="1" x14ac:dyDescent="0.2"/>
    <row r="18" ht="24.95" hidden="1" customHeight="1" x14ac:dyDescent="0.2"/>
    <row r="19" ht="24.95" hidden="1" customHeight="1" x14ac:dyDescent="0.2"/>
    <row r="20" ht="24.95" hidden="1" customHeight="1" x14ac:dyDescent="0.2"/>
    <row r="21" ht="24.95" hidden="1" customHeight="1" x14ac:dyDescent="0.2"/>
    <row r="22" ht="24.95" hidden="1" customHeight="1" x14ac:dyDescent="0.2"/>
    <row r="23" ht="24.95" hidden="1" customHeight="1" x14ac:dyDescent="0.2"/>
    <row r="24" ht="24.95" hidden="1" customHeight="1" x14ac:dyDescent="0.2"/>
    <row r="25" ht="24.95" hidden="1" customHeight="1" x14ac:dyDescent="0.2"/>
  </sheetData>
  <sheetProtection algorithmName="SHA-512" hashValue="r4+BU+y5YQvbJq3OVyp3ty6WbFJ7uDtuDu4wockznTVvGWsRCisEBk99DHqWUGwatw+Mlt1qeEp8DgAHFJgQGg==" saltValue="ROMNJuu/9+y3aDzacFfbUA==" spinCount="100000" sheet="1" objects="1" scenarios="1"/>
  <mergeCells count="7">
    <mergeCell ref="F12:J12"/>
    <mergeCell ref="F13:J13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3">
    <pageSetUpPr fitToPage="1"/>
  </sheetPr>
  <dimension ref="A1:Y66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2227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s="27" customFormat="1" ht="15" customHeight="1" x14ac:dyDescent="0.25">
      <c r="D10" s="164" t="s">
        <v>1858</v>
      </c>
      <c r="E10" s="34"/>
      <c r="F10" s="266"/>
      <c r="G10" s="266"/>
      <c r="H10" s="266"/>
      <c r="I10" s="266"/>
      <c r="J10" s="266"/>
      <c r="K10" s="266"/>
      <c r="L10" s="266"/>
      <c r="M10" s="266"/>
    </row>
    <row r="11" spans="1:16" s="27" customFormat="1" ht="15" customHeight="1" x14ac:dyDescent="0.2">
      <c r="D11" s="266"/>
      <c r="E11" s="266" t="s">
        <v>484</v>
      </c>
      <c r="F11" s="266"/>
      <c r="G11" s="266"/>
      <c r="H11" s="266"/>
      <c r="I11" s="266"/>
      <c r="J11" s="266"/>
      <c r="K11" s="266"/>
      <c r="L11" s="266"/>
      <c r="M11" s="266"/>
    </row>
    <row r="12" spans="1:16" s="27" customFormat="1" ht="15" customHeight="1" x14ac:dyDescent="0.2">
      <c r="E12" s="266" t="s">
        <v>485</v>
      </c>
      <c r="F12" s="266"/>
      <c r="G12" s="266"/>
      <c r="H12" s="266"/>
      <c r="I12" s="266"/>
      <c r="J12" s="266"/>
      <c r="K12" s="266"/>
      <c r="L12" s="266"/>
      <c r="M12" s="266"/>
    </row>
    <row r="13" spans="1:16" s="27" customFormat="1" ht="15" customHeight="1" x14ac:dyDescent="0.2">
      <c r="E13" s="266" t="s">
        <v>674</v>
      </c>
      <c r="F13" s="266"/>
      <c r="G13" s="266"/>
      <c r="H13" s="266"/>
      <c r="I13" s="266"/>
      <c r="J13" s="266"/>
      <c r="K13" s="266"/>
      <c r="L13" s="266"/>
      <c r="M13" s="266"/>
    </row>
    <row r="14" spans="1:16" s="27" customFormat="1" ht="15" customHeight="1" x14ac:dyDescent="0.2">
      <c r="F14" s="266"/>
      <c r="G14" s="266"/>
      <c r="H14" s="266"/>
      <c r="I14" s="266"/>
      <c r="J14" s="266"/>
      <c r="K14" s="266"/>
      <c r="L14" s="266"/>
      <c r="M14" s="266"/>
    </row>
    <row r="15" spans="1:16" s="27" customFormat="1" ht="15" customHeight="1" x14ac:dyDescent="0.25">
      <c r="D15" s="164" t="s">
        <v>1940</v>
      </c>
      <c r="E15" s="34"/>
      <c r="F15" s="266"/>
      <c r="G15" s="266"/>
      <c r="H15" s="266"/>
      <c r="I15" s="266"/>
      <c r="J15" s="266"/>
      <c r="K15" s="266"/>
      <c r="L15" s="266"/>
      <c r="M15" s="266"/>
    </row>
    <row r="16" spans="1:16" s="27" customFormat="1" ht="15" customHeight="1" x14ac:dyDescent="0.2">
      <c r="D16" s="49" t="s">
        <v>1703</v>
      </c>
      <c r="G16" s="237">
        <v>6</v>
      </c>
      <c r="H16" s="356" t="s">
        <v>1953</v>
      </c>
      <c r="I16" s="266"/>
      <c r="J16" s="266"/>
      <c r="K16" s="356"/>
      <c r="L16" s="266"/>
      <c r="M16" s="266"/>
    </row>
    <row r="17" spans="4:25" s="27" customFormat="1" ht="15" customHeight="1" x14ac:dyDescent="0.2">
      <c r="D17" s="266"/>
      <c r="G17" s="237">
        <v>136</v>
      </c>
      <c r="H17" s="356" t="s">
        <v>1933</v>
      </c>
      <c r="I17" s="266"/>
      <c r="J17" s="266"/>
      <c r="K17" s="356"/>
      <c r="L17" s="266"/>
      <c r="M17" s="266"/>
    </row>
    <row r="18" spans="4:25" s="27" customFormat="1" ht="15" customHeight="1" x14ac:dyDescent="0.2">
      <c r="D18" s="266"/>
      <c r="E18" s="266"/>
      <c r="F18" s="266"/>
      <c r="G18" s="237">
        <v>42</v>
      </c>
      <c r="H18" s="356" t="s">
        <v>1929</v>
      </c>
      <c r="I18" s="281"/>
      <c r="J18" s="266"/>
      <c r="K18" s="356"/>
      <c r="L18" s="266"/>
      <c r="M18" s="266"/>
      <c r="N18" s="263"/>
    </row>
    <row r="19" spans="4:25" s="27" customFormat="1" ht="15" customHeight="1" x14ac:dyDescent="0.2">
      <c r="D19" s="266"/>
      <c r="E19" s="266"/>
      <c r="F19" s="266"/>
      <c r="G19" s="5">
        <v>7.9</v>
      </c>
      <c r="H19" s="356" t="s">
        <v>1934</v>
      </c>
      <c r="I19" s="281"/>
      <c r="J19" s="266"/>
      <c r="K19" s="356"/>
      <c r="M19" s="266"/>
      <c r="N19" s="263"/>
    </row>
    <row r="20" spans="4:25" s="27" customFormat="1" ht="15" customHeight="1" x14ac:dyDescent="0.2">
      <c r="D20" s="266"/>
      <c r="E20" s="266"/>
      <c r="F20" s="266"/>
      <c r="G20" s="266"/>
      <c r="H20" s="49"/>
      <c r="I20" s="266"/>
      <c r="J20" s="266"/>
      <c r="K20" s="266"/>
      <c r="L20" s="266"/>
      <c r="M20" s="266"/>
      <c r="N20" s="263"/>
    </row>
    <row r="21" spans="4:25" s="27" customFormat="1" ht="15" customHeight="1" x14ac:dyDescent="0.2">
      <c r="D21" s="273" t="s">
        <v>340</v>
      </c>
      <c r="E21" s="266"/>
      <c r="F21" s="266"/>
      <c r="G21" s="237">
        <v>90</v>
      </c>
      <c r="H21" s="49" t="s">
        <v>341</v>
      </c>
      <c r="I21" s="266"/>
      <c r="J21" s="266"/>
      <c r="K21" s="49"/>
      <c r="L21" s="266"/>
      <c r="M21" s="266"/>
      <c r="N21" s="263"/>
    </row>
    <row r="22" spans="4:25" s="27" customFormat="1" ht="15" customHeight="1" x14ac:dyDescent="0.2">
      <c r="D22" s="283"/>
      <c r="E22" s="266"/>
      <c r="F22" s="266"/>
      <c r="G22" s="263"/>
      <c r="H22" s="49"/>
      <c r="I22" s="266"/>
      <c r="J22" s="266"/>
      <c r="K22" s="49"/>
      <c r="L22" s="266"/>
      <c r="M22" s="266"/>
      <c r="N22" s="263"/>
    </row>
    <row r="23" spans="4:25" s="27" customFormat="1" ht="15" customHeight="1" x14ac:dyDescent="0.2">
      <c r="D23" s="277" t="s">
        <v>573</v>
      </c>
      <c r="E23" s="266"/>
      <c r="F23" s="266"/>
      <c r="G23" s="263"/>
      <c r="H23" s="49"/>
      <c r="I23" s="266"/>
      <c r="J23" s="266"/>
      <c r="K23" s="49"/>
      <c r="L23" s="266"/>
      <c r="M23" s="266"/>
      <c r="N23" s="263"/>
    </row>
    <row r="24" spans="4:25" s="27" customFormat="1" ht="15" customHeight="1" x14ac:dyDescent="0.2">
      <c r="D24" s="273" t="s">
        <v>1708</v>
      </c>
      <c r="E24" s="283"/>
      <c r="G24" s="220">
        <f>IF((G19*(60-G18)/G21)&gt;0,G19*(60-G18)/G21,0)</f>
        <v>1.5800000000000003</v>
      </c>
      <c r="H24" s="273" t="s">
        <v>2234</v>
      </c>
      <c r="I24" s="266"/>
      <c r="J24" s="266"/>
      <c r="K24" s="266"/>
      <c r="L24" s="266"/>
      <c r="M24" s="266"/>
      <c r="N24" s="263"/>
    </row>
    <row r="25" spans="4:25" s="27" customFormat="1" ht="15" customHeight="1" x14ac:dyDescent="0.2">
      <c r="D25" s="277"/>
      <c r="E25" s="266"/>
      <c r="F25" s="266"/>
      <c r="G25" s="263"/>
      <c r="H25" s="49"/>
      <c r="I25" s="266"/>
      <c r="J25" s="266"/>
      <c r="K25" s="49"/>
      <c r="L25" s="266"/>
      <c r="M25" s="266"/>
      <c r="N25" s="263"/>
    </row>
    <row r="26" spans="4:25" s="27" customFormat="1" ht="15" customHeight="1" x14ac:dyDescent="0.2">
      <c r="D26" s="277" t="s">
        <v>2062</v>
      </c>
      <c r="E26" s="266"/>
      <c r="F26" s="266"/>
      <c r="G26" s="263"/>
      <c r="H26" s="49"/>
      <c r="I26" s="266"/>
      <c r="J26" s="266"/>
      <c r="K26" s="49"/>
      <c r="L26" s="266"/>
      <c r="M26" s="266"/>
      <c r="N26" s="263"/>
    </row>
    <row r="27" spans="4:25" s="27" customFormat="1" ht="15" customHeight="1" x14ac:dyDescent="0.2">
      <c r="F27" s="399" t="s">
        <v>638</v>
      </c>
      <c r="G27" s="224">
        <f>W27*5</f>
        <v>450</v>
      </c>
      <c r="H27" s="292" t="s">
        <v>1039</v>
      </c>
      <c r="I27" s="169"/>
      <c r="J27" s="266"/>
      <c r="W27" s="279" t="str">
        <f>IF(G16&lt;10,"90",IF(AND(G16&gt;=10,G16&lt;20),"60",IF(AND(G16&gt;=20,G16&lt;50),"30",0)))</f>
        <v>90</v>
      </c>
      <c r="X27" s="27" t="s">
        <v>1138</v>
      </c>
      <c r="Y27" s="263"/>
    </row>
    <row r="28" spans="4:25" s="27" customFormat="1" ht="15" customHeight="1" x14ac:dyDescent="0.2">
      <c r="F28" s="226" t="s">
        <v>1139</v>
      </c>
      <c r="G28" s="276">
        <f>(W28*5)/3</f>
        <v>216.66666666666666</v>
      </c>
      <c r="H28" s="273" t="str">
        <f>"g/planta de "&amp;Y28&amp;" ."</f>
        <v>g/planta de 20-00-15 .</v>
      </c>
      <c r="J28" s="266"/>
      <c r="W28" s="208">
        <v>130</v>
      </c>
      <c r="X28" s="27" t="s">
        <v>385</v>
      </c>
      <c r="Y28" s="273" t="str">
        <f>IF(G17&lt;60,"20-00-30",IF(AND(G17&gt;=60,G17&lt;120),"20-00-20",IF(AND(G17&gt;=120,G17&lt;200),"20-00-15",IF(AND(G17&gt;=200,G17&lt;280),"20-00-10","Sultato de Amônio"))))</f>
        <v>20-00-15</v>
      </c>
    </row>
    <row r="29" spans="4:25" s="27" customFormat="1" ht="15" customHeight="1" x14ac:dyDescent="0.2">
      <c r="D29" s="266"/>
      <c r="I29" s="279"/>
      <c r="J29" s="266"/>
      <c r="O29" s="263"/>
    </row>
    <row r="30" spans="4:25" ht="15" customHeight="1" x14ac:dyDescent="0.2">
      <c r="D30" s="281"/>
      <c r="G30" s="281"/>
      <c r="H30" s="283"/>
      <c r="I30" s="283"/>
      <c r="J30" s="283"/>
      <c r="K30" s="263"/>
      <c r="L30" s="273"/>
      <c r="M30" s="273"/>
      <c r="N30" s="26"/>
      <c r="O30" s="26"/>
    </row>
    <row r="31" spans="4:25" ht="15" customHeight="1" x14ac:dyDescent="0.2">
      <c r="D31" s="281"/>
      <c r="E31" s="281"/>
      <c r="F31" s="281"/>
      <c r="G31" s="281"/>
      <c r="H31" s="275"/>
      <c r="I31" s="281"/>
      <c r="J31" s="281"/>
      <c r="K31" s="281"/>
      <c r="L31" s="273"/>
      <c r="M31" s="273"/>
      <c r="N31" s="26"/>
      <c r="O31" s="26"/>
    </row>
    <row r="32" spans="4:25" ht="15" customHeight="1" x14ac:dyDescent="0.2">
      <c r="H32" s="281"/>
      <c r="I32" s="281"/>
      <c r="J32" s="281"/>
      <c r="K32" s="281"/>
      <c r="L32" s="281"/>
      <c r="M32" s="281"/>
    </row>
    <row r="33" spans="2:14" ht="15" customHeight="1" x14ac:dyDescent="0.2">
      <c r="H33" s="281"/>
      <c r="I33" s="281"/>
      <c r="J33" s="281"/>
      <c r="K33" s="281"/>
      <c r="L33" s="281"/>
      <c r="M33" s="281"/>
    </row>
    <row r="34" spans="2:14" ht="15" customHeight="1" x14ac:dyDescent="0.2">
      <c r="H34" s="281"/>
      <c r="I34" s="281"/>
      <c r="J34" s="281"/>
      <c r="K34" s="281"/>
      <c r="L34" s="281"/>
      <c r="M34" s="281"/>
    </row>
    <row r="35" spans="2:14" s="27" customFormat="1" ht="15" customHeight="1" x14ac:dyDescent="0.2">
      <c r="D35" s="275"/>
      <c r="E35" s="220"/>
      <c r="F35" s="280"/>
      <c r="G35" s="281"/>
      <c r="H35" s="281"/>
      <c r="I35" s="281"/>
      <c r="J35" s="281"/>
      <c r="K35" s="281"/>
      <c r="L35" s="281"/>
      <c r="M35" s="281"/>
      <c r="N35" s="263"/>
    </row>
    <row r="36" spans="2:14" ht="15" customHeight="1" x14ac:dyDescent="0.2"/>
    <row r="37" spans="2:14" ht="15" customHeight="1" x14ac:dyDescent="0.2"/>
    <row r="38" spans="2:14" ht="15" customHeight="1" x14ac:dyDescent="0.2"/>
    <row r="39" spans="2:14" ht="15" customHeight="1" x14ac:dyDescent="0.2"/>
    <row r="40" spans="2:14" ht="15" customHeight="1" x14ac:dyDescent="0.2">
      <c r="K40" s="271"/>
    </row>
    <row r="41" spans="2:14" ht="15" customHeight="1" x14ac:dyDescent="0.2"/>
    <row r="42" spans="2:14" s="60" customFormat="1" ht="15" customHeight="1" x14ac:dyDescent="0.2">
      <c r="D42" s="226" t="s">
        <v>891</v>
      </c>
      <c r="E42" s="717">
        <f ca="1">TODAY()</f>
        <v>45064</v>
      </c>
      <c r="F42" s="714"/>
      <c r="G42" s="60" t="s">
        <v>373</v>
      </c>
    </row>
    <row r="43" spans="2:14" s="60" customFormat="1" ht="15" customHeight="1" x14ac:dyDescent="0.2">
      <c r="D43" s="267"/>
    </row>
    <row r="44" spans="2:14" ht="15" hidden="1" customHeight="1" x14ac:dyDescent="0.2">
      <c r="B44" s="213"/>
      <c r="C44" s="213"/>
      <c r="D44" s="213"/>
      <c r="E44" s="213"/>
      <c r="F44" s="272"/>
      <c r="G44" s="213"/>
      <c r="H44" s="213"/>
    </row>
    <row r="45" spans="2:14" ht="15" hidden="1" customHeight="1" x14ac:dyDescent="0.2">
      <c r="B45" s="275"/>
      <c r="C45" s="281"/>
      <c r="D45" s="281"/>
      <c r="E45" s="281"/>
      <c r="F45" s="281"/>
      <c r="G45" s="281"/>
      <c r="H45" s="281"/>
    </row>
    <row r="46" spans="2:14" ht="15" hidden="1" customHeight="1" x14ac:dyDescent="0.2">
      <c r="B46" s="275"/>
      <c r="C46" s="281"/>
      <c r="D46" s="281"/>
      <c r="E46" s="281"/>
      <c r="F46" s="281"/>
      <c r="G46" s="281"/>
      <c r="H46" s="281"/>
    </row>
    <row r="47" spans="2:14" ht="15" hidden="1" customHeight="1" x14ac:dyDescent="0.2">
      <c r="B47" s="275"/>
      <c r="C47" s="281"/>
      <c r="D47" s="281"/>
      <c r="E47" s="281"/>
      <c r="F47" s="281"/>
      <c r="G47" s="281"/>
      <c r="H47" s="281"/>
    </row>
    <row r="48" spans="2:14" ht="15" hidden="1" customHeight="1" x14ac:dyDescent="0.2">
      <c r="B48" s="208"/>
      <c r="G48" s="281"/>
      <c r="H48" s="281"/>
    </row>
    <row r="49" spans="2:8" ht="15" hidden="1" customHeight="1" x14ac:dyDescent="0.2">
      <c r="B49" s="275"/>
      <c r="C49" s="281"/>
      <c r="D49" s="281"/>
      <c r="E49" s="281"/>
      <c r="F49" s="281"/>
    </row>
    <row r="50" spans="2:8" ht="15" hidden="1" customHeight="1" x14ac:dyDescent="0.2">
      <c r="B50" s="275"/>
      <c r="C50" s="281"/>
      <c r="D50" s="281"/>
      <c r="E50" s="281"/>
      <c r="F50" s="281"/>
      <c r="G50" s="281"/>
      <c r="H50" s="281"/>
    </row>
    <row r="51" spans="2:8" ht="15" hidden="1" customHeight="1" x14ac:dyDescent="0.2">
      <c r="B51" s="275"/>
      <c r="C51" s="281"/>
      <c r="D51" s="281"/>
      <c r="E51" s="281"/>
      <c r="F51" s="281"/>
      <c r="G51" s="281"/>
      <c r="H51" s="281"/>
    </row>
    <row r="52" spans="2:8" ht="15" hidden="1" customHeight="1" x14ac:dyDescent="0.2">
      <c r="B52" s="774"/>
      <c r="C52" s="774"/>
      <c r="D52" s="774"/>
      <c r="E52" s="774"/>
      <c r="F52" s="774"/>
      <c r="G52" s="774"/>
      <c r="H52" s="281"/>
    </row>
    <row r="53" spans="2:8" ht="15" hidden="1" customHeight="1" x14ac:dyDescent="0.2">
      <c r="B53" s="267"/>
      <c r="C53" s="60"/>
      <c r="D53" s="60"/>
      <c r="E53" s="60"/>
      <c r="F53" s="60"/>
      <c r="G53" s="60"/>
      <c r="H53" s="60"/>
    </row>
    <row r="54" spans="2:8" ht="15" hidden="1" customHeight="1" x14ac:dyDescent="0.2">
      <c r="B54" s="267"/>
      <c r="C54" s="60"/>
      <c r="D54" s="60"/>
      <c r="E54" s="60"/>
      <c r="F54" s="60"/>
      <c r="G54" s="60"/>
      <c r="H54" s="60"/>
    </row>
    <row r="55" spans="2:8" ht="15" hidden="1" customHeight="1" x14ac:dyDescent="0.2">
      <c r="B55" s="267"/>
      <c r="C55" s="60"/>
      <c r="D55" s="60"/>
      <c r="E55" s="60"/>
      <c r="F55" s="60"/>
      <c r="G55" s="60"/>
      <c r="H55" s="60"/>
    </row>
    <row r="56" spans="2:8" ht="15" hidden="1" customHeight="1" x14ac:dyDescent="0.2"/>
    <row r="57" spans="2:8" ht="15" hidden="1" customHeight="1" x14ac:dyDescent="0.2"/>
    <row r="58" spans="2:8" ht="15" hidden="1" customHeight="1" x14ac:dyDescent="0.2"/>
    <row r="59" spans="2:8" ht="15" hidden="1" customHeight="1" x14ac:dyDescent="0.2"/>
    <row r="60" spans="2:8" ht="15" hidden="1" customHeight="1" x14ac:dyDescent="0.2"/>
    <row r="61" spans="2:8" ht="15" hidden="1" customHeight="1" x14ac:dyDescent="0.2"/>
    <row r="62" spans="2:8" ht="15" hidden="1" customHeight="1" x14ac:dyDescent="0.2"/>
    <row r="63" spans="2:8" ht="15" hidden="1" customHeight="1" x14ac:dyDescent="0.2"/>
    <row r="64" spans="2:8" ht="15" hidden="1" customHeight="1" x14ac:dyDescent="0.2"/>
    <row r="65" ht="15" hidden="1" customHeight="1" x14ac:dyDescent="0.2"/>
    <row r="66" ht="15" hidden="1" customHeight="1" x14ac:dyDescent="0.2"/>
  </sheetData>
  <sheetProtection algorithmName="SHA-512" hashValue="L6EQqlEFDgQA0yJWDbTTVV8qqTXrn3GkVpAmEXxbF+HZL8Wiv1XDeKwKL1PUJyO7Zi7G2oLJFLQgjvjqphcHTQ==" saltValue="s6k4kiWMG6MIYoSMEKBzwA==" spinCount="100000" sheet="1" objects="1" scenarios="1" selectLockedCells="1"/>
  <mergeCells count="4">
    <mergeCell ref="C6:N6"/>
    <mergeCell ref="B52:G52"/>
    <mergeCell ref="E42:F42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>
    <pageSetUpPr fitToPage="1"/>
  </sheetPr>
  <dimension ref="A1:P37"/>
  <sheetViews>
    <sheetView showGridLines="0" showRowColHeaders="0" zoomScaleNormal="100" zoomScaleSheetLayoutView="100" workbookViewId="0">
      <selection activeCell="H1" sqref="H1"/>
    </sheetView>
  </sheetViews>
  <sheetFormatPr defaultColWidth="0" defaultRowHeight="12.75" zeroHeight="1" x14ac:dyDescent="0.2"/>
  <cols>
    <col min="1" max="3" width="9.140625" style="266" customWidth="1"/>
    <col min="4" max="4" width="9.140625" style="27" customWidth="1"/>
    <col min="5" max="5" width="9.140625" style="265" customWidth="1"/>
    <col min="6" max="6" width="9.140625" style="266" customWidth="1"/>
    <col min="7" max="13" width="9.140625" style="265" customWidth="1"/>
    <col min="14" max="16" width="9.140625" style="266" customWidth="1"/>
    <col min="17" max="16384" width="9.140625" style="266" hidden="1"/>
  </cols>
  <sheetData>
    <row r="1" spans="1:16" s="27" customFormat="1" ht="24.95" customHeight="1" x14ac:dyDescent="0.2"/>
    <row r="2" spans="1:16" s="27" customFormat="1" ht="24.95" customHeight="1" x14ac:dyDescent="0.2"/>
    <row r="3" spans="1:16" s="27" customFormat="1" ht="24.95" customHeight="1" x14ac:dyDescent="0.2"/>
    <row r="4" spans="1:16" s="27" customFormat="1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s="27" customFormat="1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179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</row>
    <row r="7" spans="1:16" s="169" customFormat="1" ht="16.5" x14ac:dyDescent="0.2">
      <c r="C7" s="384" t="s">
        <v>1170</v>
      </c>
      <c r="D7" s="132"/>
      <c r="E7" s="385" t="s">
        <v>180</v>
      </c>
      <c r="F7" s="384"/>
      <c r="G7" s="385" t="s">
        <v>181</v>
      </c>
      <c r="H7" s="385"/>
      <c r="I7" s="707" t="s">
        <v>1765</v>
      </c>
      <c r="J7" s="707"/>
      <c r="K7" s="707"/>
      <c r="L7" s="707"/>
      <c r="M7" s="707"/>
      <c r="O7" s="386"/>
    </row>
    <row r="8" spans="1:16" s="169" customFormat="1" ht="15" x14ac:dyDescent="0.2">
      <c r="C8" s="387"/>
      <c r="D8" s="89"/>
      <c r="E8" s="388" t="s">
        <v>182</v>
      </c>
      <c r="F8" s="389"/>
      <c r="G8" s="388" t="s">
        <v>183</v>
      </c>
      <c r="H8" s="238"/>
      <c r="I8" s="708" t="s">
        <v>184</v>
      </c>
      <c r="J8" s="708"/>
      <c r="K8" s="708"/>
      <c r="L8" s="708"/>
      <c r="M8" s="708"/>
    </row>
    <row r="9" spans="1:16" s="169" customFormat="1" ht="15" x14ac:dyDescent="0.2">
      <c r="C9" s="133"/>
      <c r="D9" s="133"/>
      <c r="E9" s="133"/>
      <c r="F9" s="133"/>
      <c r="G9" s="133"/>
      <c r="H9" s="133"/>
      <c r="I9" s="390" t="s">
        <v>1173</v>
      </c>
      <c r="J9" s="390"/>
      <c r="K9" s="390" t="s">
        <v>1174</v>
      </c>
      <c r="L9" s="390"/>
      <c r="M9" s="390" t="s">
        <v>1175</v>
      </c>
    </row>
    <row r="10" spans="1:16" ht="20.100000000000001" customHeight="1" x14ac:dyDescent="0.2">
      <c r="C10" s="97" t="s">
        <v>376</v>
      </c>
      <c r="D10" s="124"/>
      <c r="E10" s="248">
        <v>18</v>
      </c>
      <c r="F10" s="97"/>
      <c r="G10" s="248">
        <v>300</v>
      </c>
      <c r="H10" s="248"/>
      <c r="I10" s="248">
        <v>450</v>
      </c>
      <c r="J10" s="248"/>
      <c r="K10" s="248">
        <v>300</v>
      </c>
      <c r="L10" s="248"/>
      <c r="M10" s="248">
        <v>150</v>
      </c>
    </row>
    <row r="11" spans="1:16" ht="20.100000000000001" customHeight="1" x14ac:dyDescent="0.2">
      <c r="C11" s="97" t="s">
        <v>939</v>
      </c>
      <c r="D11" s="124"/>
      <c r="E11" s="248">
        <v>2</v>
      </c>
      <c r="F11" s="97"/>
      <c r="G11" s="248">
        <v>50</v>
      </c>
      <c r="H11" s="248"/>
      <c r="I11" s="248">
        <v>100</v>
      </c>
      <c r="J11" s="248"/>
      <c r="K11" s="248">
        <v>80</v>
      </c>
      <c r="L11" s="248"/>
      <c r="M11" s="248">
        <v>50</v>
      </c>
    </row>
    <row r="12" spans="1:16" ht="20.100000000000001" customHeight="1" x14ac:dyDescent="0.2">
      <c r="C12" s="97" t="s">
        <v>377</v>
      </c>
      <c r="D12" s="124"/>
      <c r="E12" s="248">
        <v>1.5</v>
      </c>
      <c r="F12" s="97"/>
      <c r="G12" s="248">
        <v>50</v>
      </c>
      <c r="H12" s="248"/>
      <c r="I12" s="248">
        <v>100</v>
      </c>
      <c r="J12" s="248"/>
      <c r="K12" s="248">
        <v>80</v>
      </c>
      <c r="L12" s="248"/>
      <c r="M12" s="248">
        <v>50</v>
      </c>
    </row>
    <row r="13" spans="1:16" ht="20.100000000000001" customHeight="1" x14ac:dyDescent="0.2">
      <c r="C13" s="97" t="s">
        <v>1252</v>
      </c>
      <c r="D13" s="124"/>
      <c r="E13" s="248">
        <v>3.5</v>
      </c>
      <c r="F13" s="97"/>
      <c r="G13" s="248">
        <v>70</v>
      </c>
      <c r="H13" s="248"/>
      <c r="I13" s="248">
        <v>180</v>
      </c>
      <c r="J13" s="248"/>
      <c r="K13" s="248">
        <v>100</v>
      </c>
      <c r="L13" s="248"/>
      <c r="M13" s="248">
        <v>50</v>
      </c>
    </row>
    <row r="14" spans="1:16" ht="20.100000000000001" customHeight="1" x14ac:dyDescent="0.2">
      <c r="C14" s="97" t="s">
        <v>1253</v>
      </c>
      <c r="D14" s="124"/>
      <c r="E14" s="248">
        <v>12</v>
      </c>
      <c r="F14" s="97"/>
      <c r="G14" s="248">
        <v>140</v>
      </c>
      <c r="H14" s="248"/>
      <c r="I14" s="248">
        <v>120</v>
      </c>
      <c r="J14" s="248"/>
      <c r="K14" s="248">
        <v>80</v>
      </c>
      <c r="L14" s="248"/>
      <c r="M14" s="248">
        <v>40</v>
      </c>
    </row>
    <row r="15" spans="1:16" ht="20.100000000000001" customHeight="1" x14ac:dyDescent="0.2">
      <c r="C15" s="97" t="s">
        <v>507</v>
      </c>
      <c r="D15" s="124"/>
      <c r="E15" s="248">
        <v>12</v>
      </c>
      <c r="F15" s="97"/>
      <c r="G15" s="248">
        <v>400</v>
      </c>
      <c r="H15" s="248"/>
      <c r="I15" s="248">
        <v>600</v>
      </c>
      <c r="J15" s="248"/>
      <c r="K15" s="248">
        <v>500</v>
      </c>
      <c r="L15" s="248"/>
      <c r="M15" s="248">
        <v>350</v>
      </c>
    </row>
    <row r="16" spans="1:16" ht="20.100000000000001" customHeight="1" x14ac:dyDescent="0.2">
      <c r="C16" s="97" t="s">
        <v>510</v>
      </c>
      <c r="D16" s="124"/>
      <c r="E16" s="248">
        <v>3</v>
      </c>
      <c r="F16" s="97"/>
      <c r="G16" s="248">
        <v>100</v>
      </c>
      <c r="H16" s="248"/>
      <c r="I16" s="248">
        <v>200</v>
      </c>
      <c r="J16" s="248"/>
      <c r="K16" s="248">
        <v>150</v>
      </c>
      <c r="L16" s="248"/>
      <c r="M16" s="248">
        <v>100</v>
      </c>
    </row>
    <row r="17" spans="3:15" ht="20.100000000000001" customHeight="1" x14ac:dyDescent="0.2">
      <c r="C17" s="97" t="s">
        <v>143</v>
      </c>
      <c r="D17" s="124"/>
      <c r="E17" s="248">
        <v>2.5</v>
      </c>
      <c r="F17" s="97"/>
      <c r="G17" s="248">
        <v>100</v>
      </c>
      <c r="H17" s="248"/>
      <c r="I17" s="248">
        <v>250</v>
      </c>
      <c r="J17" s="248"/>
      <c r="K17" s="248">
        <v>150</v>
      </c>
      <c r="L17" s="248"/>
      <c r="M17" s="248">
        <v>100</v>
      </c>
    </row>
    <row r="18" spans="3:15" ht="20.100000000000001" customHeight="1" x14ac:dyDescent="0.2">
      <c r="C18" s="97" t="s">
        <v>513</v>
      </c>
      <c r="D18" s="124"/>
      <c r="E18" s="709" t="s">
        <v>1110</v>
      </c>
      <c r="F18" s="709"/>
      <c r="G18" s="709"/>
      <c r="H18" s="709"/>
      <c r="I18" s="709"/>
      <c r="J18" s="709"/>
      <c r="K18" s="709"/>
      <c r="L18" s="709"/>
      <c r="M18" s="709"/>
      <c r="N18" s="265"/>
      <c r="O18" s="265"/>
    </row>
    <row r="19" spans="3:15" ht="20.100000000000001" customHeight="1" x14ac:dyDescent="0.2">
      <c r="C19" s="97" t="s">
        <v>514</v>
      </c>
      <c r="D19" s="124"/>
      <c r="E19" s="709" t="s">
        <v>1110</v>
      </c>
      <c r="F19" s="709"/>
      <c r="G19" s="709"/>
      <c r="H19" s="709"/>
      <c r="I19" s="709"/>
      <c r="J19" s="709"/>
      <c r="K19" s="709"/>
      <c r="L19" s="709"/>
      <c r="M19" s="709"/>
      <c r="N19" s="60"/>
      <c r="O19" s="60"/>
    </row>
    <row r="20" spans="3:15" ht="20.100000000000001" customHeight="1" x14ac:dyDescent="0.2">
      <c r="C20" s="97" t="s">
        <v>1309</v>
      </c>
      <c r="D20" s="124"/>
      <c r="E20" s="248">
        <v>2</v>
      </c>
      <c r="F20" s="97"/>
      <c r="G20" s="248">
        <v>180</v>
      </c>
      <c r="H20" s="248"/>
      <c r="I20" s="248">
        <v>100</v>
      </c>
      <c r="J20" s="248"/>
      <c r="K20" s="248">
        <v>60</v>
      </c>
      <c r="L20" s="248"/>
      <c r="M20" s="248">
        <v>20</v>
      </c>
    </row>
    <row r="21" spans="3:15" ht="20.100000000000001" customHeight="1" x14ac:dyDescent="0.2">
      <c r="C21" s="97" t="s">
        <v>516</v>
      </c>
      <c r="D21" s="124"/>
      <c r="E21" s="248">
        <v>2.5</v>
      </c>
      <c r="F21" s="97"/>
      <c r="G21" s="248">
        <v>100</v>
      </c>
      <c r="H21" s="248"/>
      <c r="I21" s="248">
        <v>200</v>
      </c>
      <c r="J21" s="248"/>
      <c r="K21" s="248">
        <v>150</v>
      </c>
      <c r="L21" s="248"/>
      <c r="M21" s="248">
        <v>100</v>
      </c>
    </row>
    <row r="22" spans="3:15" ht="20.100000000000001" customHeight="1" x14ac:dyDescent="0.2">
      <c r="C22" s="97" t="s">
        <v>518</v>
      </c>
      <c r="D22" s="124"/>
      <c r="E22" s="248">
        <v>12</v>
      </c>
      <c r="F22" s="97"/>
      <c r="G22" s="248">
        <v>150</v>
      </c>
      <c r="H22" s="248"/>
      <c r="I22" s="248">
        <v>200</v>
      </c>
      <c r="J22" s="248"/>
      <c r="K22" s="248">
        <v>120</v>
      </c>
      <c r="L22" s="248"/>
      <c r="M22" s="248">
        <v>60</v>
      </c>
    </row>
    <row r="23" spans="3:15" ht="20.100000000000001" customHeight="1" x14ac:dyDescent="0.2">
      <c r="C23" s="97" t="s">
        <v>185</v>
      </c>
      <c r="D23" s="124"/>
      <c r="E23" s="248">
        <v>12</v>
      </c>
      <c r="F23" s="97"/>
      <c r="G23" s="248">
        <v>280</v>
      </c>
      <c r="H23" s="248"/>
      <c r="I23" s="248">
        <v>350</v>
      </c>
      <c r="J23" s="248"/>
      <c r="K23" s="248">
        <v>280</v>
      </c>
      <c r="L23" s="248"/>
      <c r="M23" s="248">
        <v>180</v>
      </c>
    </row>
    <row r="24" spans="3:15" ht="20.100000000000001" customHeight="1" x14ac:dyDescent="0.2">
      <c r="C24" s="97" t="s">
        <v>1113</v>
      </c>
      <c r="D24" s="124"/>
      <c r="E24" s="248">
        <v>2.5</v>
      </c>
      <c r="F24" s="97"/>
      <c r="G24" s="248">
        <v>100</v>
      </c>
      <c r="H24" s="248"/>
      <c r="I24" s="248">
        <v>250</v>
      </c>
      <c r="J24" s="248"/>
      <c r="K24" s="248">
        <v>150</v>
      </c>
      <c r="L24" s="248"/>
      <c r="M24" s="248">
        <v>100</v>
      </c>
    </row>
    <row r="25" spans="3:15" ht="20.100000000000001" customHeight="1" x14ac:dyDescent="0.2">
      <c r="C25" s="97" t="s">
        <v>523</v>
      </c>
      <c r="D25" s="124"/>
      <c r="E25" s="248">
        <v>12</v>
      </c>
      <c r="F25" s="97"/>
      <c r="G25" s="248">
        <v>150</v>
      </c>
      <c r="H25" s="248"/>
      <c r="I25" s="248">
        <v>140</v>
      </c>
      <c r="J25" s="248"/>
      <c r="K25" s="248">
        <v>120</v>
      </c>
      <c r="L25" s="248"/>
      <c r="M25" s="248">
        <v>70</v>
      </c>
    </row>
    <row r="26" spans="3:15" ht="20.100000000000001" customHeight="1" x14ac:dyDescent="0.2">
      <c r="C26" s="97" t="s">
        <v>525</v>
      </c>
      <c r="D26" s="124"/>
      <c r="E26" s="248">
        <v>18</v>
      </c>
      <c r="F26" s="97"/>
      <c r="G26" s="248">
        <v>400</v>
      </c>
      <c r="H26" s="248"/>
      <c r="I26" s="248">
        <v>600</v>
      </c>
      <c r="J26" s="248"/>
      <c r="K26" s="248">
        <v>500</v>
      </c>
      <c r="L26" s="248"/>
      <c r="M26" s="248">
        <v>350</v>
      </c>
    </row>
    <row r="27" spans="3:15" ht="20.100000000000001" customHeight="1" x14ac:dyDescent="0.2">
      <c r="C27" s="97" t="s">
        <v>528</v>
      </c>
      <c r="D27" s="124"/>
      <c r="E27" s="248">
        <v>2.5</v>
      </c>
      <c r="F27" s="97"/>
      <c r="G27" s="248">
        <v>220</v>
      </c>
      <c r="H27" s="248"/>
      <c r="I27" s="248">
        <v>400</v>
      </c>
      <c r="J27" s="248"/>
      <c r="K27" s="248">
        <v>300</v>
      </c>
      <c r="L27" s="248"/>
      <c r="M27" s="248">
        <v>200</v>
      </c>
    </row>
    <row r="28" spans="3:15" ht="20.100000000000001" customHeight="1" x14ac:dyDescent="0.2">
      <c r="C28" s="97" t="s">
        <v>530</v>
      </c>
      <c r="D28" s="124"/>
      <c r="E28" s="709" t="s">
        <v>1110</v>
      </c>
      <c r="F28" s="709"/>
      <c r="G28" s="709"/>
      <c r="H28" s="709"/>
      <c r="I28" s="709"/>
      <c r="J28" s="709"/>
      <c r="K28" s="709"/>
      <c r="L28" s="709"/>
      <c r="M28" s="709"/>
    </row>
    <row r="29" spans="3:15" ht="20.100000000000001" customHeight="1" x14ac:dyDescent="0.2">
      <c r="C29" s="97" t="s">
        <v>531</v>
      </c>
      <c r="D29" s="124"/>
      <c r="E29" s="248">
        <v>12</v>
      </c>
      <c r="F29" s="97"/>
      <c r="G29" s="248">
        <v>140</v>
      </c>
      <c r="H29" s="248"/>
      <c r="I29" s="248">
        <v>120</v>
      </c>
      <c r="J29" s="248"/>
      <c r="K29" s="248">
        <v>80</v>
      </c>
      <c r="L29" s="248"/>
      <c r="M29" s="248">
        <v>40</v>
      </c>
      <c r="O29" s="37"/>
    </row>
    <row r="30" spans="3:15" ht="20.100000000000001" customHeight="1" x14ac:dyDescent="0.2">
      <c r="C30" s="97" t="s">
        <v>533</v>
      </c>
      <c r="D30" s="124"/>
      <c r="E30" s="248">
        <v>12</v>
      </c>
      <c r="F30" s="97"/>
      <c r="G30" s="248">
        <v>140</v>
      </c>
      <c r="H30" s="248"/>
      <c r="I30" s="248">
        <v>120</v>
      </c>
      <c r="J30" s="248"/>
      <c r="K30" s="248">
        <v>80</v>
      </c>
      <c r="L30" s="248"/>
      <c r="M30" s="248">
        <v>40</v>
      </c>
    </row>
    <row r="31" spans="3:15" ht="20.100000000000001" customHeight="1" x14ac:dyDescent="0.2">
      <c r="C31" s="97" t="s">
        <v>534</v>
      </c>
      <c r="D31" s="124"/>
      <c r="E31" s="248">
        <v>3</v>
      </c>
      <c r="F31" s="97"/>
      <c r="G31" s="248">
        <v>140</v>
      </c>
      <c r="H31" s="248"/>
      <c r="I31" s="248">
        <v>220</v>
      </c>
      <c r="J31" s="248"/>
      <c r="K31" s="248">
        <v>140</v>
      </c>
      <c r="L31" s="248"/>
      <c r="M31" s="248">
        <v>80</v>
      </c>
    </row>
    <row r="32" spans="3:15" ht="20.100000000000001" customHeight="1" x14ac:dyDescent="0.2">
      <c r="C32" s="97" t="s">
        <v>947</v>
      </c>
      <c r="D32" s="124"/>
      <c r="E32" s="248">
        <v>0.5</v>
      </c>
      <c r="F32" s="97"/>
      <c r="G32" s="248">
        <v>80</v>
      </c>
      <c r="H32" s="248"/>
      <c r="I32" s="248">
        <v>150</v>
      </c>
      <c r="J32" s="248"/>
      <c r="K32" s="248">
        <v>100</v>
      </c>
      <c r="L32" s="248"/>
      <c r="M32" s="248">
        <v>50</v>
      </c>
    </row>
    <row r="33" spans="3:13" ht="20.100000000000001" customHeight="1" x14ac:dyDescent="0.2">
      <c r="C33" s="97" t="s">
        <v>536</v>
      </c>
      <c r="D33" s="124"/>
      <c r="E33" s="248">
        <v>2.5</v>
      </c>
      <c r="F33" s="97"/>
      <c r="G33" s="248">
        <v>100</v>
      </c>
      <c r="H33" s="248"/>
      <c r="I33" s="248">
        <v>250</v>
      </c>
      <c r="J33" s="248"/>
      <c r="K33" s="248">
        <v>150</v>
      </c>
      <c r="L33" s="248"/>
      <c r="M33" s="248">
        <v>100</v>
      </c>
    </row>
    <row r="34" spans="3:13" ht="20.100000000000001" customHeight="1" x14ac:dyDescent="0.2">
      <c r="C34" s="97" t="s">
        <v>186</v>
      </c>
      <c r="D34" s="124"/>
      <c r="E34" s="248">
        <v>1.5</v>
      </c>
      <c r="F34" s="97"/>
      <c r="G34" s="248">
        <v>180</v>
      </c>
      <c r="H34" s="248"/>
      <c r="I34" s="248">
        <v>100</v>
      </c>
      <c r="J34" s="248"/>
      <c r="K34" s="248">
        <v>60</v>
      </c>
      <c r="L34" s="248"/>
      <c r="M34" s="248">
        <v>20</v>
      </c>
    </row>
    <row r="35" spans="3:13" ht="20.100000000000001" customHeight="1" x14ac:dyDescent="0.2">
      <c r="C35" s="97" t="s">
        <v>639</v>
      </c>
      <c r="D35" s="124"/>
      <c r="E35" s="248">
        <v>4</v>
      </c>
      <c r="F35" s="97"/>
      <c r="G35" s="248">
        <v>250</v>
      </c>
      <c r="H35" s="248"/>
      <c r="I35" s="248">
        <v>300</v>
      </c>
      <c r="J35" s="248"/>
      <c r="K35" s="248">
        <v>250</v>
      </c>
      <c r="L35" s="248"/>
      <c r="M35" s="248">
        <v>150</v>
      </c>
    </row>
    <row r="36" spans="3:13" ht="20.100000000000001" customHeight="1" x14ac:dyDescent="0.2">
      <c r="C36" s="102" t="s">
        <v>640</v>
      </c>
      <c r="D36" s="102"/>
      <c r="E36" s="126">
        <v>12</v>
      </c>
      <c r="F36" s="102"/>
      <c r="G36" s="126">
        <v>180</v>
      </c>
      <c r="H36" s="126"/>
      <c r="I36" s="126">
        <v>300</v>
      </c>
      <c r="J36" s="126"/>
      <c r="K36" s="126">
        <v>150</v>
      </c>
      <c r="L36" s="126"/>
      <c r="M36" s="126">
        <v>70</v>
      </c>
    </row>
    <row r="37" spans="3:13" x14ac:dyDescent="0.2"/>
  </sheetData>
  <sheetProtection algorithmName="SHA-512" hashValue="K4KSm4EAqzyZnv/g2Fx9HpbpdJY/BbHveNSwvjWwVEo7gs1HtCofa0akYJq2dF8KH/gt9YI2UlCE/HuPZBfhmQ==" saltValue="FEv/D/DdWMSKt6gBgSVajA==" spinCount="100000" sheet="1" objects="1" scenarios="1"/>
  <mergeCells count="6">
    <mergeCell ref="C6:M6"/>
    <mergeCell ref="I7:M7"/>
    <mergeCell ref="I8:M8"/>
    <mergeCell ref="E28:M28"/>
    <mergeCell ref="E18:M18"/>
    <mergeCell ref="E19:M19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4">
    <pageSetUpPr fitToPage="1"/>
  </sheetPr>
  <dimension ref="A1:Z72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2228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25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ht="15" customHeight="1" x14ac:dyDescent="0.2"/>
    <row r="10" spans="1:25" s="27" customFormat="1" ht="15" customHeight="1" x14ac:dyDescent="0.25">
      <c r="D10" s="164" t="s">
        <v>1951</v>
      </c>
      <c r="E10" s="34"/>
      <c r="F10" s="266"/>
      <c r="G10" s="266"/>
      <c r="H10" s="266"/>
      <c r="I10" s="266"/>
      <c r="J10" s="266"/>
      <c r="K10" s="266"/>
      <c r="L10" s="266"/>
      <c r="M10" s="266"/>
      <c r="N10" s="263"/>
    </row>
    <row r="11" spans="1:25" s="27" customFormat="1" ht="15" customHeight="1" x14ac:dyDescent="0.2">
      <c r="D11" s="49" t="s">
        <v>1703</v>
      </c>
      <c r="G11" s="237">
        <v>9</v>
      </c>
      <c r="H11" s="356" t="s">
        <v>1953</v>
      </c>
      <c r="I11" s="266"/>
      <c r="J11" s="266"/>
      <c r="K11" s="266"/>
      <c r="L11" s="266"/>
      <c r="M11" s="266"/>
    </row>
    <row r="12" spans="1:25" s="27" customFormat="1" ht="15" customHeight="1" x14ac:dyDescent="0.2">
      <c r="D12" s="266"/>
      <c r="G12" s="237">
        <v>150</v>
      </c>
      <c r="H12" s="356" t="s">
        <v>1933</v>
      </c>
      <c r="I12" s="266"/>
      <c r="J12" s="266"/>
      <c r="K12" s="266"/>
      <c r="L12" s="266"/>
      <c r="M12" s="266"/>
    </row>
    <row r="13" spans="1:25" s="27" customFormat="1" ht="15" customHeight="1" x14ac:dyDescent="0.2">
      <c r="D13" s="266"/>
      <c r="E13" s="266"/>
      <c r="F13" s="266"/>
      <c r="G13" s="266"/>
      <c r="H13" s="49"/>
      <c r="I13" s="266"/>
      <c r="J13" s="266"/>
      <c r="K13" s="266"/>
      <c r="L13" s="266"/>
      <c r="M13" s="266"/>
    </row>
    <row r="14" spans="1:25" s="27" customFormat="1" ht="15" customHeight="1" x14ac:dyDescent="0.2">
      <c r="F14" s="399" t="s">
        <v>638</v>
      </c>
      <c r="G14" s="224">
        <f>W14*5</f>
        <v>450</v>
      </c>
      <c r="H14" s="292" t="s">
        <v>1039</v>
      </c>
      <c r="I14" s="169"/>
      <c r="J14" s="266"/>
      <c r="K14" s="266"/>
      <c r="W14" s="279" t="str">
        <f>IF(G11&lt;10,"90",IF(AND(G11&gt;=10,G11&lt;20),"60",IF(AND(G11&gt;=20,G11&lt;100),"30",0)))</f>
        <v>90</v>
      </c>
      <c r="X14" s="27" t="s">
        <v>1138</v>
      </c>
    </row>
    <row r="15" spans="1:25" s="27" customFormat="1" ht="15" customHeight="1" x14ac:dyDescent="0.2">
      <c r="F15" s="226" t="s">
        <v>1139</v>
      </c>
      <c r="G15" s="276">
        <f>(W15*5)/3</f>
        <v>266.66666666666669</v>
      </c>
      <c r="H15" s="273" t="str">
        <f>"g/planta de "&amp;Y15&amp;" ."</f>
        <v>g/planta de 20-00-15 .</v>
      </c>
      <c r="J15" s="266"/>
      <c r="K15" s="266"/>
      <c r="W15" s="208">
        <v>160</v>
      </c>
      <c r="X15" s="27" t="s">
        <v>385</v>
      </c>
      <c r="Y15" s="273" t="str">
        <f>IF(G12&lt;60,"20-00-30",IF(AND(G12&gt;=60,G12&lt;120),"20-00-20",IF(AND(G12&gt;=120,G12&lt;200),"20-00-15",IF(AND(G12&gt;=200,G12&lt;280),"20-00-10","Sultato de Amônio"))))</f>
        <v>20-00-15</v>
      </c>
    </row>
    <row r="16" spans="1:25" s="27" customFormat="1" ht="15" customHeight="1" x14ac:dyDescent="0.2">
      <c r="D16" s="266"/>
      <c r="H16" s="26"/>
      <c r="I16" s="279"/>
      <c r="J16" s="266"/>
      <c r="K16" s="266"/>
    </row>
    <row r="17" spans="4:26" s="27" customFormat="1" ht="15" customHeight="1" x14ac:dyDescent="0.25">
      <c r="D17" s="164" t="s">
        <v>1952</v>
      </c>
      <c r="E17" s="34"/>
      <c r="F17" s="266"/>
      <c r="G17" s="266"/>
      <c r="H17" s="171"/>
      <c r="I17" s="263"/>
      <c r="M17" s="266"/>
    </row>
    <row r="18" spans="4:26" s="27" customFormat="1" ht="15" customHeight="1" x14ac:dyDescent="0.2">
      <c r="D18" s="49" t="s">
        <v>1703</v>
      </c>
      <c r="G18" s="237">
        <v>9</v>
      </c>
      <c r="H18" s="356" t="s">
        <v>1953</v>
      </c>
      <c r="I18" s="271"/>
      <c r="J18" s="272"/>
      <c r="K18" s="266"/>
      <c r="L18" s="266"/>
      <c r="M18" s="266"/>
      <c r="N18" s="263"/>
    </row>
    <row r="19" spans="4:26" s="27" customFormat="1" ht="15" customHeight="1" x14ac:dyDescent="0.2">
      <c r="D19" s="266"/>
      <c r="G19" s="237">
        <v>150</v>
      </c>
      <c r="H19" s="356" t="s">
        <v>1933</v>
      </c>
      <c r="I19" s="271"/>
      <c r="J19" s="266"/>
      <c r="K19" s="266"/>
      <c r="L19" s="266"/>
      <c r="M19" s="266"/>
      <c r="N19" s="263"/>
      <c r="W19" s="26"/>
      <c r="X19" s="26"/>
      <c r="Y19" s="26"/>
      <c r="Z19" s="26"/>
    </row>
    <row r="20" spans="4:26" s="27" customFormat="1" ht="15" customHeight="1" x14ac:dyDescent="0.2">
      <c r="D20" s="266"/>
      <c r="E20" s="266"/>
      <c r="F20" s="266"/>
      <c r="G20" s="266"/>
      <c r="H20" s="49"/>
      <c r="I20" s="266"/>
      <c r="J20" s="266"/>
      <c r="K20" s="266"/>
      <c r="L20" s="266"/>
      <c r="M20" s="266"/>
      <c r="N20" s="263"/>
      <c r="W20" s="26"/>
      <c r="X20" s="26"/>
      <c r="Y20" s="26"/>
      <c r="Z20" s="26"/>
    </row>
    <row r="21" spans="4:26" s="27" customFormat="1" ht="15" customHeight="1" x14ac:dyDescent="0.2">
      <c r="F21" s="399" t="s">
        <v>638</v>
      </c>
      <c r="G21" s="224">
        <f>W21*5</f>
        <v>750</v>
      </c>
      <c r="H21" s="292" t="s">
        <v>1039</v>
      </c>
      <c r="I21" s="169"/>
      <c r="J21" s="266"/>
      <c r="K21" s="266"/>
      <c r="W21" s="325" t="str">
        <f>IF(G18&lt;10,"150",IF(AND(G18&gt;=10,G18&lt;20),"100",IF(AND(G18&gt;=20,G18&lt;50),"50",0)))</f>
        <v>150</v>
      </c>
      <c r="X21" s="26" t="s">
        <v>1138</v>
      </c>
      <c r="Y21" s="26"/>
      <c r="Z21" s="26"/>
    </row>
    <row r="22" spans="4:26" s="27" customFormat="1" ht="15" customHeight="1" x14ac:dyDescent="0.2">
      <c r="F22" s="226" t="s">
        <v>1139</v>
      </c>
      <c r="G22" s="276">
        <f>((W22*100)/20)/3</f>
        <v>400</v>
      </c>
      <c r="H22" s="273" t="str">
        <f>"g/planta de "&amp;Y22&amp;" ."</f>
        <v>g/planta de 20-00-15 .</v>
      </c>
      <c r="J22" s="266"/>
      <c r="K22" s="266"/>
      <c r="W22" s="171">
        <v>240</v>
      </c>
      <c r="X22" s="26" t="s">
        <v>385</v>
      </c>
      <c r="Y22" s="273" t="str">
        <f>IF(G19&lt;60,"20-00-30",IF(AND(G19&gt;=60,G19&lt;120),"20-00-20",IF(AND(G19&gt;=120,G19&lt;200),"20-00-15",IF(AND(G19&gt;=200,G19&lt;280),"20-00-10","Sultato de Amônio"))))</f>
        <v>20-00-15</v>
      </c>
      <c r="Z22" s="26"/>
    </row>
    <row r="23" spans="4:26" s="27" customFormat="1" ht="15" customHeight="1" x14ac:dyDescent="0.2">
      <c r="D23" s="275"/>
      <c r="E23" s="224"/>
      <c r="F23" s="280"/>
      <c r="G23" s="266"/>
      <c r="H23" s="49"/>
      <c r="I23" s="266"/>
      <c r="J23" s="266"/>
      <c r="K23" s="266"/>
      <c r="L23" s="266"/>
      <c r="M23" s="266"/>
      <c r="W23" s="26"/>
      <c r="X23" s="26"/>
      <c r="Y23" s="26"/>
      <c r="Z23" s="26"/>
    </row>
    <row r="24" spans="4:26" s="27" customFormat="1" ht="15" customHeight="1" x14ac:dyDescent="0.25">
      <c r="D24" s="164" t="s">
        <v>2225</v>
      </c>
      <c r="E24" s="34"/>
      <c r="F24" s="34"/>
      <c r="G24" s="266"/>
      <c r="H24" s="171"/>
      <c r="I24" s="263"/>
      <c r="M24" s="266"/>
      <c r="W24" s="26"/>
      <c r="X24" s="26"/>
      <c r="Y24" s="26"/>
      <c r="Z24" s="26"/>
    </row>
    <row r="25" spans="4:26" s="27" customFormat="1" ht="15" customHeight="1" x14ac:dyDescent="0.2">
      <c r="D25" s="49" t="s">
        <v>1703</v>
      </c>
      <c r="G25" s="237">
        <v>9</v>
      </c>
      <c r="H25" s="356" t="s">
        <v>1953</v>
      </c>
      <c r="I25" s="271"/>
      <c r="J25" s="272"/>
      <c r="K25" s="266"/>
      <c r="L25" s="266"/>
      <c r="M25" s="266"/>
      <c r="W25" s="26"/>
      <c r="X25" s="26"/>
      <c r="Y25" s="26"/>
      <c r="Z25" s="26"/>
    </row>
    <row r="26" spans="4:26" s="27" customFormat="1" ht="15" customHeight="1" x14ac:dyDescent="0.2">
      <c r="D26" s="266"/>
      <c r="G26" s="237">
        <v>150</v>
      </c>
      <c r="H26" s="356" t="s">
        <v>1933</v>
      </c>
      <c r="I26" s="271"/>
      <c r="J26" s="266"/>
      <c r="K26" s="266"/>
      <c r="L26" s="266"/>
      <c r="M26" s="266"/>
      <c r="W26" s="26"/>
      <c r="X26" s="26"/>
      <c r="Y26" s="26"/>
      <c r="Z26" s="26"/>
    </row>
    <row r="27" spans="4:26" s="27" customFormat="1" ht="15" customHeight="1" x14ac:dyDescent="0.2">
      <c r="D27" s="266"/>
      <c r="E27" s="266"/>
      <c r="F27" s="266"/>
      <c r="G27" s="266"/>
      <c r="H27" s="49"/>
      <c r="I27" s="266"/>
      <c r="J27" s="266"/>
      <c r="K27" s="266"/>
      <c r="L27" s="266"/>
      <c r="M27" s="266"/>
      <c r="W27" s="26"/>
      <c r="X27" s="26"/>
      <c r="Y27" s="26"/>
      <c r="Z27" s="26"/>
    </row>
    <row r="28" spans="4:26" s="27" customFormat="1" ht="15" customHeight="1" x14ac:dyDescent="0.2">
      <c r="F28" s="399" t="s">
        <v>638</v>
      </c>
      <c r="G28" s="224">
        <f>W28*5</f>
        <v>750</v>
      </c>
      <c r="H28" s="292" t="s">
        <v>1039</v>
      </c>
      <c r="I28" s="169"/>
      <c r="J28" s="266"/>
      <c r="K28" s="266"/>
      <c r="W28" s="279" t="str">
        <f>IF(G25&lt;10,"150",IF(AND(G25&gt;=10,G25&lt;20),"100",IF(AND(G25&gt;=20,G25&lt;50),"50",0)))</f>
        <v>150</v>
      </c>
      <c r="X28" s="27" t="s">
        <v>1138</v>
      </c>
      <c r="Y28" s="26"/>
      <c r="Z28" s="26"/>
    </row>
    <row r="29" spans="4:26" s="27" customFormat="1" ht="15" customHeight="1" x14ac:dyDescent="0.2">
      <c r="F29" s="226" t="s">
        <v>1139</v>
      </c>
      <c r="G29" s="276">
        <f>(W29*5)/3</f>
        <v>566.66666666666663</v>
      </c>
      <c r="H29" s="273" t="str">
        <f>"g/planta de "&amp;Y29&amp;" ."</f>
        <v>g/planta de 20-00-15 .</v>
      </c>
      <c r="J29" s="266"/>
      <c r="K29" s="266"/>
      <c r="W29" s="208">
        <v>340</v>
      </c>
      <c r="X29" s="27" t="s">
        <v>385</v>
      </c>
      <c r="Y29" s="273" t="str">
        <f>IF(G26&lt;60,"20-00-30",IF(AND(G26&gt;=60,G26&lt;120),"20-00-20",IF(AND(G26&gt;=120,G26&lt;200),"20-00-15",IF(AND(G26&gt;=200,G26&lt;280),"20-00-10","Sultato de Amônio"))))</f>
        <v>20-00-15</v>
      </c>
      <c r="Z29" s="26"/>
    </row>
    <row r="30" spans="4:26" s="27" customFormat="1" ht="15" customHeight="1" x14ac:dyDescent="0.2">
      <c r="D30" s="266"/>
      <c r="H30" s="26"/>
      <c r="I30" s="279"/>
      <c r="J30" s="266"/>
      <c r="K30" s="266"/>
      <c r="W30" s="26"/>
      <c r="X30" s="26"/>
      <c r="Y30" s="26"/>
      <c r="Z30" s="26"/>
    </row>
    <row r="31" spans="4:26" s="27" customFormat="1" ht="15" customHeight="1" x14ac:dyDescent="0.25">
      <c r="D31" s="282" t="s">
        <v>2226</v>
      </c>
      <c r="E31" s="281"/>
      <c r="F31" s="281"/>
      <c r="G31" s="281"/>
      <c r="H31" s="273"/>
      <c r="I31" s="283"/>
      <c r="J31" s="283"/>
      <c r="K31" s="283"/>
      <c r="L31" s="283"/>
      <c r="M31" s="283"/>
      <c r="W31" s="26"/>
      <c r="X31" s="26"/>
      <c r="Y31" s="26"/>
      <c r="Z31" s="26"/>
    </row>
    <row r="32" spans="4:26" ht="15" customHeight="1" x14ac:dyDescent="0.2">
      <c r="D32" s="49" t="s">
        <v>1703</v>
      </c>
      <c r="G32" s="237">
        <v>20</v>
      </c>
      <c r="H32" s="273" t="s">
        <v>1929</v>
      </c>
      <c r="I32" s="283"/>
      <c r="J32" s="283"/>
      <c r="K32" s="263"/>
      <c r="M32" s="220"/>
      <c r="N32" s="27"/>
      <c r="O32" s="27"/>
      <c r="W32" s="49"/>
      <c r="X32" s="49"/>
      <c r="Y32" s="49"/>
      <c r="Z32" s="49"/>
    </row>
    <row r="33" spans="3:22" ht="15" customHeight="1" x14ac:dyDescent="0.2">
      <c r="D33" s="281"/>
      <c r="G33" s="5">
        <v>6</v>
      </c>
      <c r="H33" s="273" t="s">
        <v>1934</v>
      </c>
      <c r="I33" s="272"/>
      <c r="J33" s="272"/>
      <c r="K33" s="272"/>
      <c r="M33" s="289"/>
      <c r="N33" s="27"/>
      <c r="O33" s="27"/>
    </row>
    <row r="34" spans="3:22" ht="15" customHeight="1" x14ac:dyDescent="0.2">
      <c r="D34" s="281"/>
      <c r="H34" s="49"/>
      <c r="I34" s="283"/>
      <c r="J34" s="283"/>
      <c r="K34" s="263"/>
      <c r="M34" s="283"/>
      <c r="N34" s="27"/>
      <c r="O34" s="27"/>
    </row>
    <row r="35" spans="3:22" ht="15" customHeight="1" x14ac:dyDescent="0.2">
      <c r="D35" s="273" t="s">
        <v>340</v>
      </c>
      <c r="G35" s="237">
        <v>90</v>
      </c>
      <c r="H35" s="273" t="s">
        <v>341</v>
      </c>
      <c r="I35" s="283"/>
      <c r="J35" s="283"/>
      <c r="K35" s="263"/>
      <c r="M35" s="283"/>
      <c r="N35" s="27"/>
      <c r="O35" s="27"/>
    </row>
    <row r="36" spans="3:22" ht="15" customHeight="1" x14ac:dyDescent="0.2">
      <c r="D36" s="281"/>
      <c r="G36" s="263"/>
      <c r="H36" s="273"/>
      <c r="I36" s="283"/>
      <c r="J36" s="283"/>
      <c r="K36" s="263"/>
      <c r="L36" s="283"/>
      <c r="M36" s="283"/>
      <c r="N36" s="27"/>
      <c r="O36" s="27"/>
    </row>
    <row r="37" spans="3:22" ht="15" customHeight="1" x14ac:dyDescent="0.2">
      <c r="D37" s="273" t="s">
        <v>1708</v>
      </c>
      <c r="E37" s="283"/>
      <c r="G37" s="220">
        <f>IF(( G33*(60-G32)/G35)&gt;0, G33*(60-G32)/G35,0)</f>
        <v>2.6666666666666665</v>
      </c>
      <c r="H37" s="273" t="s">
        <v>2242</v>
      </c>
      <c r="I37" s="281"/>
      <c r="J37" s="281"/>
      <c r="K37" s="281"/>
      <c r="L37" s="281"/>
      <c r="M37" s="281"/>
    </row>
    <row r="38" spans="3:22" s="27" customFormat="1" ht="15" customHeight="1" x14ac:dyDescent="0.2">
      <c r="D38" s="275"/>
      <c r="E38" s="220"/>
      <c r="F38" s="280"/>
      <c r="G38" s="281"/>
      <c r="H38" s="170"/>
      <c r="I38" s="281"/>
      <c r="J38" s="281"/>
      <c r="K38" s="281"/>
      <c r="L38" s="281"/>
      <c r="M38" s="281"/>
      <c r="N38" s="263"/>
    </row>
    <row r="39" spans="3:22" s="27" customFormat="1" ht="15" customHeight="1" x14ac:dyDescent="0.2">
      <c r="D39" s="275"/>
      <c r="E39" s="220"/>
      <c r="F39" s="280"/>
      <c r="G39" s="281"/>
      <c r="H39" s="281"/>
      <c r="I39" s="281"/>
      <c r="J39" s="281"/>
      <c r="K39" s="281"/>
      <c r="L39" s="281"/>
      <c r="M39" s="281"/>
      <c r="N39" s="263"/>
    </row>
    <row r="40" spans="3:22" ht="15" customHeight="1" x14ac:dyDescent="0.2">
      <c r="C40" s="281"/>
      <c r="D40" s="281"/>
      <c r="E40" s="281"/>
      <c r="F40" s="281"/>
      <c r="G40" s="281"/>
      <c r="H40" s="281"/>
    </row>
    <row r="41" spans="3:22" ht="15" customHeight="1" x14ac:dyDescent="0.2">
      <c r="C41" s="281"/>
      <c r="D41" s="281"/>
      <c r="E41" s="281"/>
      <c r="F41" s="281"/>
      <c r="G41" s="281"/>
      <c r="H41" s="281"/>
    </row>
    <row r="42" spans="3:22" ht="15" customHeight="1" x14ac:dyDescent="0.2">
      <c r="C42" s="281"/>
      <c r="D42" s="281"/>
      <c r="E42" s="281"/>
      <c r="F42" s="281"/>
      <c r="G42" s="281"/>
      <c r="H42" s="281"/>
    </row>
    <row r="43" spans="3:22" ht="15" customHeight="1" x14ac:dyDescent="0.2">
      <c r="C43" s="281"/>
      <c r="D43" s="281"/>
      <c r="E43" s="281"/>
      <c r="F43" s="281"/>
      <c r="G43" s="281"/>
      <c r="H43" s="281"/>
    </row>
    <row r="44" spans="3:22" ht="15" customHeight="1" x14ac:dyDescent="0.2">
      <c r="G44" s="281"/>
      <c r="H44" s="281"/>
    </row>
    <row r="45" spans="3:22" ht="15" customHeight="1" x14ac:dyDescent="0.2">
      <c r="C45" s="281"/>
      <c r="D45" s="281"/>
      <c r="E45" s="281"/>
      <c r="F45" s="281"/>
      <c r="V45" s="271"/>
    </row>
    <row r="46" spans="3:22" ht="15" customHeight="1" x14ac:dyDescent="0.2">
      <c r="C46" s="281"/>
      <c r="D46" s="281"/>
      <c r="E46" s="281"/>
      <c r="F46" s="281"/>
      <c r="G46" s="281"/>
      <c r="H46" s="281"/>
    </row>
    <row r="47" spans="3:22" ht="15" customHeight="1" x14ac:dyDescent="0.2">
      <c r="C47" s="281"/>
      <c r="D47" s="281"/>
      <c r="E47" s="281"/>
      <c r="F47" s="281"/>
      <c r="G47" s="281"/>
      <c r="H47" s="281"/>
    </row>
    <row r="48" spans="3:22" ht="15" customHeight="1" x14ac:dyDescent="0.2">
      <c r="C48" s="321"/>
      <c r="D48" s="321"/>
      <c r="E48" s="321"/>
      <c r="F48" s="321"/>
      <c r="G48" s="321"/>
      <c r="H48" s="281"/>
    </row>
    <row r="49" spans="3:13" ht="15" customHeight="1" x14ac:dyDescent="0.2">
      <c r="C49" s="60"/>
      <c r="D49" s="60"/>
      <c r="E49" s="60"/>
      <c r="F49" s="60"/>
      <c r="G49" s="60"/>
      <c r="H49" s="60"/>
    </row>
    <row r="50" spans="3:13" ht="15" customHeight="1" x14ac:dyDescent="0.2">
      <c r="C50" s="60"/>
      <c r="D50" s="60"/>
      <c r="E50" s="60"/>
      <c r="F50" s="60"/>
      <c r="G50" s="60"/>
      <c r="H50" s="60"/>
    </row>
    <row r="51" spans="3:13" ht="15" customHeight="1" x14ac:dyDescent="0.2">
      <c r="C51" s="60"/>
      <c r="D51" s="226" t="s">
        <v>891</v>
      </c>
      <c r="E51" s="717">
        <f ca="1">TODAY()</f>
        <v>45064</v>
      </c>
      <c r="F51" s="714"/>
      <c r="G51" s="60" t="s">
        <v>373</v>
      </c>
      <c r="H51" s="60"/>
    </row>
    <row r="52" spans="3:13" s="60" customFormat="1" ht="15" customHeight="1" x14ac:dyDescent="0.2"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</row>
    <row r="53" spans="3:13" ht="15" hidden="1" customHeight="1" x14ac:dyDescent="0.2"/>
    <row r="54" spans="3:13" ht="15" hidden="1" customHeight="1" x14ac:dyDescent="0.2"/>
    <row r="55" spans="3:13" ht="15" hidden="1" customHeight="1" x14ac:dyDescent="0.2"/>
    <row r="56" spans="3:13" ht="15" hidden="1" customHeight="1" x14ac:dyDescent="0.2"/>
    <row r="57" spans="3:13" ht="15" hidden="1" customHeight="1" x14ac:dyDescent="0.2"/>
    <row r="58" spans="3:13" ht="15" hidden="1" customHeight="1" x14ac:dyDescent="0.2"/>
    <row r="59" spans="3:13" ht="15" hidden="1" customHeight="1" x14ac:dyDescent="0.2"/>
    <row r="60" spans="3:13" ht="15" hidden="1" customHeight="1" x14ac:dyDescent="0.2"/>
    <row r="61" spans="3:13" ht="15" hidden="1" customHeight="1" x14ac:dyDescent="0.2"/>
    <row r="62" spans="3:13" ht="15" hidden="1" customHeight="1" x14ac:dyDescent="0.2"/>
    <row r="63" spans="3:13" ht="15" hidden="1" customHeight="1" x14ac:dyDescent="0.2"/>
    <row r="64" spans="3:13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</sheetData>
  <sheetProtection algorithmName="SHA-512" hashValue="hJYHFkCK/xrUn1uRM+fFn1tKkRRYsuAo7QZMw2m167/PkkelbhAuT4XP6EXE07XBODj8wQVC7GGIS/LzCEQ7oA==" saltValue="nGCjtKR1QPZGzDSvTKsfOQ==" spinCount="100000" sheet="1" objects="1" scenarios="1" selectLockedCells="1"/>
  <mergeCells count="3">
    <mergeCell ref="E51:F51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5">
    <pageSetUpPr fitToPage="1"/>
  </sheetPr>
  <dimension ref="A1:Y49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25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5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5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5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5" ht="24.95" customHeight="1" x14ac:dyDescent="0.2">
      <c r="C6" s="699" t="s">
        <v>2229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5" ht="15" customHeight="1" x14ac:dyDescent="0.2"/>
    <row r="8" spans="1:25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5" ht="15" customHeight="1" x14ac:dyDescent="0.2"/>
    <row r="10" spans="1:25" ht="15" customHeight="1" x14ac:dyDescent="0.25">
      <c r="D10" s="309"/>
      <c r="E10" s="309"/>
      <c r="F10" s="309"/>
      <c r="G10" s="309"/>
      <c r="H10" s="309"/>
    </row>
    <row r="11" spans="1:25" ht="15" customHeight="1" x14ac:dyDescent="0.2">
      <c r="D11" s="170" t="s">
        <v>1208</v>
      </c>
      <c r="G11" s="5">
        <v>5</v>
      </c>
      <c r="H11" s="298" t="s">
        <v>2070</v>
      </c>
      <c r="I11" s="5">
        <v>5</v>
      </c>
      <c r="J11" s="298" t="s">
        <v>2069</v>
      </c>
      <c r="K11" s="432">
        <f>10000/(G11*I11)</f>
        <v>400</v>
      </c>
      <c r="L11" s="266" t="s">
        <v>353</v>
      </c>
    </row>
    <row r="12" spans="1:25" ht="15" customHeight="1" x14ac:dyDescent="0.2">
      <c r="D12" s="170" t="s">
        <v>1142</v>
      </c>
      <c r="E12" s="208"/>
      <c r="F12" s="660"/>
      <c r="G12" s="5">
        <v>400</v>
      </c>
      <c r="H12" s="208" t="s">
        <v>672</v>
      </c>
      <c r="I12" s="661">
        <f>G12/K11</f>
        <v>1</v>
      </c>
      <c r="J12" s="266" t="s">
        <v>575</v>
      </c>
    </row>
    <row r="13" spans="1:25" ht="15" customHeight="1" x14ac:dyDescent="0.2">
      <c r="D13" s="273" t="s">
        <v>2231</v>
      </c>
      <c r="E13" s="208"/>
      <c r="F13" s="27"/>
      <c r="G13" s="237">
        <v>3</v>
      </c>
      <c r="H13" s="49" t="s">
        <v>2232</v>
      </c>
    </row>
    <row r="14" spans="1:25" ht="15" customHeight="1" x14ac:dyDescent="0.2">
      <c r="H14" s="49"/>
    </row>
    <row r="15" spans="1:25" s="27" customFormat="1" ht="15" customHeight="1" x14ac:dyDescent="0.2">
      <c r="D15" s="170" t="s">
        <v>2233</v>
      </c>
      <c r="F15" s="263"/>
      <c r="G15" s="237">
        <v>69</v>
      </c>
      <c r="H15" s="356" t="s">
        <v>1953</v>
      </c>
      <c r="I15" s="266"/>
      <c r="J15" s="266"/>
      <c r="K15" s="266"/>
      <c r="W15" s="266"/>
      <c r="X15" s="266"/>
      <c r="Y15" s="266"/>
    </row>
    <row r="16" spans="1:25" s="27" customFormat="1" ht="15" customHeight="1" x14ac:dyDescent="0.2">
      <c r="D16" s="266"/>
      <c r="F16" s="263"/>
      <c r="G16" s="237">
        <v>119</v>
      </c>
      <c r="H16" s="356" t="s">
        <v>1933</v>
      </c>
      <c r="I16" s="266"/>
      <c r="J16" s="266"/>
      <c r="K16" s="266"/>
      <c r="W16" s="266"/>
      <c r="X16" s="266"/>
      <c r="Y16" s="266"/>
    </row>
    <row r="17" spans="1:25" s="27" customFormat="1" ht="15" customHeight="1" x14ac:dyDescent="0.2">
      <c r="D17" s="266"/>
      <c r="F17" s="263"/>
      <c r="G17" s="237">
        <v>2.1</v>
      </c>
      <c r="H17" s="292" t="s">
        <v>1963</v>
      </c>
      <c r="I17" s="266"/>
      <c r="J17" s="266"/>
      <c r="K17" s="266"/>
      <c r="W17" s="266"/>
      <c r="X17" s="266"/>
      <c r="Y17" s="266"/>
    </row>
    <row r="18" spans="1:25" s="27" customFormat="1" ht="15" customHeight="1" x14ac:dyDescent="0.2">
      <c r="G18" s="237">
        <v>30</v>
      </c>
      <c r="H18" s="356" t="s">
        <v>1929</v>
      </c>
      <c r="I18" s="266"/>
      <c r="J18" s="266"/>
      <c r="K18" s="266"/>
      <c r="T18" s="26"/>
      <c r="U18" s="26"/>
      <c r="V18" s="26"/>
      <c r="W18" s="26"/>
      <c r="X18" s="26"/>
    </row>
    <row r="19" spans="1:25" s="27" customFormat="1" ht="15" customHeight="1" x14ac:dyDescent="0.2">
      <c r="G19" s="5">
        <v>7</v>
      </c>
      <c r="H19" s="356" t="s">
        <v>1934</v>
      </c>
      <c r="I19" s="266"/>
      <c r="J19" s="266"/>
      <c r="S19" s="280"/>
      <c r="T19" s="273"/>
      <c r="U19" s="26"/>
      <c r="V19" s="171"/>
      <c r="W19" s="26"/>
      <c r="X19" s="26"/>
    </row>
    <row r="20" spans="1:25" s="27" customFormat="1" ht="15" customHeight="1" x14ac:dyDescent="0.2">
      <c r="H20" s="26"/>
      <c r="I20" s="266"/>
      <c r="J20" s="266"/>
      <c r="L20" s="356"/>
      <c r="S20" s="280"/>
      <c r="T20" s="273"/>
      <c r="U20" s="26"/>
      <c r="V20" s="171"/>
      <c r="W20" s="26"/>
      <c r="X20" s="26"/>
    </row>
    <row r="21" spans="1:25" s="27" customFormat="1" ht="15" customHeight="1" x14ac:dyDescent="0.2">
      <c r="D21" s="273" t="s">
        <v>340</v>
      </c>
      <c r="G21" s="237">
        <v>90</v>
      </c>
      <c r="H21" s="88" t="s">
        <v>341</v>
      </c>
      <c r="I21" s="266"/>
      <c r="J21" s="266"/>
      <c r="L21" s="356"/>
      <c r="S21" s="280"/>
      <c r="T21" s="273"/>
      <c r="U21" s="26"/>
      <c r="V21" s="171"/>
      <c r="W21" s="26"/>
      <c r="X21" s="26"/>
    </row>
    <row r="22" spans="1:25" s="27" customFormat="1" ht="15" customHeight="1" thickBot="1" x14ac:dyDescent="0.25">
      <c r="H22" s="26"/>
      <c r="I22" s="266"/>
      <c r="J22" s="266"/>
      <c r="L22" s="356"/>
      <c r="S22" s="280"/>
      <c r="T22" s="273"/>
      <c r="U22" s="26"/>
      <c r="V22" s="171"/>
      <c r="W22" s="26"/>
      <c r="X22" s="26"/>
    </row>
    <row r="23" spans="1:25" s="27" customFormat="1" ht="15" customHeight="1" thickTop="1" thickBot="1" x14ac:dyDescent="0.3">
      <c r="D23" s="311" t="s">
        <v>350</v>
      </c>
      <c r="H23" s="26"/>
      <c r="I23" s="266"/>
      <c r="J23" s="861" t="str">
        <f>HYPERLINK("#"&amp;"'RecomendacaoMicro'!h1","Recomendação de Micronutrientes")</f>
        <v>Recomendação de Micronutrientes</v>
      </c>
      <c r="K23" s="861"/>
      <c r="L23" s="861"/>
      <c r="M23" s="861"/>
      <c r="N23" s="861"/>
      <c r="S23" s="280"/>
      <c r="T23" s="273"/>
      <c r="U23" s="26"/>
      <c r="V23" s="171"/>
      <c r="W23" s="26"/>
      <c r="X23" s="26"/>
    </row>
    <row r="24" spans="1:25" s="27" customFormat="1" ht="15" customHeight="1" thickTop="1" x14ac:dyDescent="0.2">
      <c r="D24" s="277" t="s">
        <v>573</v>
      </c>
      <c r="H24" s="26"/>
      <c r="I24" s="266"/>
      <c r="J24" s="266"/>
      <c r="L24" s="356"/>
      <c r="T24" s="26"/>
      <c r="U24" s="325">
        <f>IF(G15&lt;5,"150",IF(AND(G15&gt;=5,G15&lt;10),"100",IF(AND(G15&gt;=10,G15&lt;30),"50",0)))</f>
        <v>0</v>
      </c>
      <c r="V24" s="26" t="s">
        <v>651</v>
      </c>
      <c r="W24" s="26"/>
      <c r="X24" s="26"/>
    </row>
    <row r="25" spans="1:25" s="27" customFormat="1" ht="15" customHeight="1" x14ac:dyDescent="0.2">
      <c r="D25" s="273" t="s">
        <v>1708</v>
      </c>
      <c r="G25" s="220">
        <f>IF((G19*(60-G18)/G21)&gt;0,G19*(60-G18)/G21,0)</f>
        <v>2.3333333333333335</v>
      </c>
      <c r="H25" s="273" t="s">
        <v>2234</v>
      </c>
      <c r="I25" s="266"/>
      <c r="J25" s="266"/>
      <c r="L25" s="356"/>
      <c r="S25" s="280"/>
      <c r="T25" s="26"/>
      <c r="U25" s="171">
        <f>200-(G17*12)</f>
        <v>174.8</v>
      </c>
      <c r="V25" s="26" t="s">
        <v>652</v>
      </c>
      <c r="W25" s="26"/>
      <c r="X25" s="26"/>
    </row>
    <row r="26" spans="1:25" s="27" customFormat="1" ht="15" customHeight="1" x14ac:dyDescent="0.2">
      <c r="H26" s="26"/>
      <c r="I26" s="266"/>
      <c r="J26" s="266"/>
      <c r="L26" s="356"/>
      <c r="T26" s="26"/>
      <c r="U26" s="171">
        <f>(U25+(15*(G13-3)))</f>
        <v>174.8</v>
      </c>
      <c r="V26" s="26"/>
      <c r="W26" s="26"/>
      <c r="X26" s="26"/>
    </row>
    <row r="27" spans="1:25" s="27" customFormat="1" ht="15" customHeight="1" x14ac:dyDescent="0.2">
      <c r="D27" s="277" t="s">
        <v>2062</v>
      </c>
      <c r="H27" s="26"/>
      <c r="I27" s="266"/>
      <c r="J27" s="266"/>
      <c r="L27" s="88"/>
      <c r="M27" s="283"/>
      <c r="T27" s="26"/>
      <c r="U27" s="171">
        <f>IF(G13&lt;3,U25,U26)</f>
        <v>174.8</v>
      </c>
      <c r="V27" s="26" t="s">
        <v>1350</v>
      </c>
      <c r="W27" s="26"/>
      <c r="X27" s="26"/>
    </row>
    <row r="28" spans="1:25" s="27" customFormat="1" ht="15" customHeight="1" x14ac:dyDescent="0.2">
      <c r="F28" s="399" t="s">
        <v>638</v>
      </c>
      <c r="G28" s="224">
        <f>1000*(U24*5)/K11</f>
        <v>0</v>
      </c>
      <c r="H28" s="273" t="s">
        <v>2235</v>
      </c>
      <c r="I28" s="266"/>
      <c r="J28" s="266"/>
      <c r="L28" s="88"/>
      <c r="T28" s="26"/>
      <c r="U28" s="26"/>
      <c r="V28" s="26"/>
      <c r="W28" s="26"/>
      <c r="X28" s="26"/>
    </row>
    <row r="29" spans="1:25" ht="15" customHeight="1" x14ac:dyDescent="0.2">
      <c r="A29" s="27"/>
      <c r="B29" s="27"/>
      <c r="C29" s="27"/>
      <c r="D29" s="27"/>
      <c r="E29" s="27"/>
      <c r="F29" s="226" t="s">
        <v>1139</v>
      </c>
      <c r="G29" s="224">
        <f>1000*((U27*5)/K11)/3</f>
        <v>728.33333333333337</v>
      </c>
      <c r="H29" s="273" t="str">
        <f>"g/planta de "&amp;U29&amp;"."</f>
        <v>g/planta de 20-00-20.</v>
      </c>
      <c r="K29" s="27"/>
      <c r="L29" s="88"/>
      <c r="M29" s="220"/>
      <c r="N29" s="27"/>
      <c r="O29" s="27"/>
      <c r="T29" s="26"/>
      <c r="U29" s="292" t="str">
        <f>IF(G16&lt;60,"20-00-30",IF(AND(G16&gt;=60,G16&lt;120),"20-00-20",IF(AND(G16&gt;=120,G16&lt;200),"20-00-15",IF(AND(G16&gt;=200,G16&lt;280),"20-00-10","Sultato de Amônio"))))</f>
        <v>20-00-20</v>
      </c>
      <c r="V29" s="26"/>
      <c r="W29" s="26"/>
      <c r="X29" s="26"/>
    </row>
    <row r="30" spans="1:25" ht="15" customHeight="1" x14ac:dyDescent="0.2">
      <c r="A30" s="27"/>
      <c r="B30" s="27"/>
      <c r="C30" s="27"/>
      <c r="D30" s="275"/>
      <c r="E30" s="220"/>
      <c r="F30" s="280"/>
      <c r="G30" s="283"/>
      <c r="H30" s="283"/>
      <c r="I30" s="283"/>
      <c r="J30" s="281"/>
      <c r="K30" s="281"/>
      <c r="L30" s="281"/>
    </row>
    <row r="31" spans="1:25" ht="15" customHeight="1" x14ac:dyDescent="0.2">
      <c r="A31" s="27"/>
      <c r="B31" s="27"/>
      <c r="C31" s="27"/>
      <c r="D31" s="27"/>
      <c r="E31" s="576" t="s">
        <v>24</v>
      </c>
      <c r="F31" s="470"/>
      <c r="G31" s="216"/>
      <c r="H31" s="216"/>
      <c r="I31" s="255" t="s">
        <v>434</v>
      </c>
      <c r="J31" s="754" t="s">
        <v>1185</v>
      </c>
      <c r="K31" s="754"/>
      <c r="L31" s="281"/>
    </row>
    <row r="32" spans="1:25" ht="15" customHeight="1" x14ac:dyDescent="0.2">
      <c r="A32" s="27"/>
      <c r="B32" s="27"/>
      <c r="C32" s="27"/>
      <c r="E32" s="283" t="s">
        <v>591</v>
      </c>
      <c r="F32" s="220"/>
      <c r="I32" s="218">
        <f>(G25*1000)/50</f>
        <v>46.666666666666671</v>
      </c>
      <c r="J32" s="862">
        <f>I32*I12</f>
        <v>46.666666666666671</v>
      </c>
      <c r="K32" s="862"/>
      <c r="L32" s="281"/>
    </row>
    <row r="33" spans="1:22" ht="15" customHeight="1" x14ac:dyDescent="0.2">
      <c r="A33" s="27"/>
      <c r="B33" s="27"/>
      <c r="C33" s="27"/>
      <c r="E33" s="283" t="s">
        <v>1186</v>
      </c>
      <c r="F33" s="220"/>
      <c r="I33" s="218">
        <f>((G29*K11)/1000)/50</f>
        <v>5.8266666666666671</v>
      </c>
      <c r="J33" s="862">
        <f>(I33*I12)</f>
        <v>5.8266666666666671</v>
      </c>
      <c r="K33" s="862"/>
      <c r="L33" s="281"/>
      <c r="V33" s="271"/>
    </row>
    <row r="34" spans="1:22" ht="15" customHeight="1" x14ac:dyDescent="0.2">
      <c r="A34" s="27"/>
      <c r="B34" s="27"/>
      <c r="C34" s="27"/>
      <c r="E34" s="515" t="s">
        <v>816</v>
      </c>
      <c r="F34" s="508"/>
      <c r="G34" s="157"/>
      <c r="H34" s="157"/>
      <c r="I34" s="662">
        <f>((G28*K11)/1000)/50</f>
        <v>0</v>
      </c>
      <c r="J34" s="863">
        <f>I34*I12</f>
        <v>0</v>
      </c>
      <c r="K34" s="863"/>
      <c r="L34" s="281"/>
    </row>
    <row r="35" spans="1:22" ht="15" customHeight="1" x14ac:dyDescent="0.2">
      <c r="A35" s="27"/>
      <c r="B35" s="27"/>
      <c r="C35" s="27"/>
      <c r="D35" s="275"/>
      <c r="E35" s="220"/>
      <c r="F35" s="280"/>
      <c r="G35" s="281"/>
      <c r="H35" s="281"/>
      <c r="I35" s="281"/>
      <c r="J35" s="281"/>
      <c r="K35" s="281"/>
      <c r="L35" s="281"/>
    </row>
    <row r="36" spans="1:22" ht="15" customHeight="1" x14ac:dyDescent="0.2"/>
    <row r="37" spans="1:22" ht="15" customHeight="1" x14ac:dyDescent="0.2"/>
    <row r="38" spans="1:22" ht="15" customHeight="1" x14ac:dyDescent="0.2"/>
    <row r="39" spans="1:22" ht="15" customHeight="1" x14ac:dyDescent="0.2"/>
    <row r="40" spans="1:22" s="60" customFormat="1" ht="15" customHeight="1" x14ac:dyDescent="0.2"/>
    <row r="41" spans="1:22" s="60" customFormat="1" ht="15" customHeight="1" x14ac:dyDescent="0.2"/>
    <row r="42" spans="1:22" s="60" customFormat="1" ht="15" customHeight="1" x14ac:dyDescent="0.2"/>
    <row r="43" spans="1:22" s="60" customFormat="1" ht="15" customHeight="1" x14ac:dyDescent="0.2"/>
    <row r="44" spans="1:22" s="60" customFormat="1" ht="15" customHeight="1" x14ac:dyDescent="0.2"/>
    <row r="45" spans="1:22" s="60" customFormat="1" ht="15" customHeight="1" x14ac:dyDescent="0.2"/>
    <row r="46" spans="1:22" s="60" customFormat="1" ht="15" customHeight="1" x14ac:dyDescent="0.2"/>
    <row r="47" spans="1:22" ht="15" customHeight="1" x14ac:dyDescent="0.2"/>
    <row r="48" spans="1:22" ht="15" customHeight="1" x14ac:dyDescent="0.2">
      <c r="D48" s="226" t="s">
        <v>891</v>
      </c>
      <c r="E48" s="717">
        <f ca="1">TODAY()</f>
        <v>45064</v>
      </c>
      <c r="F48" s="714"/>
      <c r="G48" s="60" t="s">
        <v>373</v>
      </c>
    </row>
    <row r="49" ht="15" customHeight="1" x14ac:dyDescent="0.2"/>
  </sheetData>
  <sheetProtection algorithmName="SHA-512" hashValue="uvYtM4Q/a8yctpA6/qBObqLi6goHNDR2w6olsa1He6LJeiNgnzr2gnRemcPD/ojnJGsoE+T7FZHmq/8WAxoVaQ==" saltValue="bWVunMboPwwkyE/dNVYJCw==" spinCount="100000" sheet="1" objects="1" scenarios="1"/>
  <mergeCells count="8">
    <mergeCell ref="E8:M8"/>
    <mergeCell ref="E48:F48"/>
    <mergeCell ref="J23:N23"/>
    <mergeCell ref="C6:N6"/>
    <mergeCell ref="J32:K32"/>
    <mergeCell ref="J33:K33"/>
    <mergeCell ref="J34:K34"/>
    <mergeCell ref="J31:K3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colBreaks count="1" manualBreakCount="1">
    <brk id="16" max="1048575" man="1"/>
  </col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3">
    <pageSetUpPr fitToPage="1"/>
  </sheetPr>
  <dimension ref="A1:R65"/>
  <sheetViews>
    <sheetView showGridLines="0" showRowColHeaders="0" zoomScaleNormal="100" workbookViewId="0">
      <selection activeCell="J18" sqref="J18"/>
    </sheetView>
  </sheetViews>
  <sheetFormatPr defaultColWidth="0" defaultRowHeight="15" customHeight="1" zeroHeight="1" x14ac:dyDescent="0.2"/>
  <cols>
    <col min="1" max="16" width="9.140625" style="266" customWidth="1"/>
    <col min="17" max="18" width="0" style="266" hidden="1" customWidth="1"/>
    <col min="19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2262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893</v>
      </c>
      <c r="E8" s="804" t="str">
        <f>CitrusProd!E8</f>
        <v>João</v>
      </c>
      <c r="F8" s="805"/>
      <c r="G8" s="805"/>
      <c r="H8" s="805"/>
      <c r="I8" s="805"/>
      <c r="J8" s="805"/>
      <c r="K8" s="805"/>
      <c r="L8" s="805"/>
      <c r="M8" s="805"/>
    </row>
    <row r="9" spans="1:16" ht="15" customHeight="1" x14ac:dyDescent="0.2"/>
    <row r="10" spans="1:16" ht="15" customHeight="1" x14ac:dyDescent="0.2"/>
    <row r="11" spans="1:16" ht="15" customHeight="1" x14ac:dyDescent="0.2">
      <c r="F11" s="219" t="s">
        <v>580</v>
      </c>
      <c r="G11" s="257"/>
      <c r="H11" s="169"/>
      <c r="I11" s="220">
        <f>CitrusProd!I12</f>
        <v>1</v>
      </c>
      <c r="J11" s="221" t="s">
        <v>575</v>
      </c>
      <c r="L11" s="33"/>
    </row>
    <row r="12" spans="1:16" ht="15" customHeight="1" x14ac:dyDescent="0.2">
      <c r="F12" s="219" t="s">
        <v>581</v>
      </c>
      <c r="G12" s="257"/>
      <c r="H12" s="222"/>
      <c r="I12" s="223">
        <f>CitrusProd!G12</f>
        <v>400</v>
      </c>
      <c r="J12" s="221" t="s">
        <v>1972</v>
      </c>
      <c r="K12" s="27"/>
    </row>
    <row r="13" spans="1:16" ht="15" customHeight="1" x14ac:dyDescent="0.2">
      <c r="F13" s="219" t="s">
        <v>582</v>
      </c>
      <c r="G13" s="257"/>
      <c r="H13" s="221"/>
      <c r="I13" s="224">
        <f>CitrusProd!G13*CitrusProd!G12</f>
        <v>1200</v>
      </c>
      <c r="J13" s="221" t="s">
        <v>2230</v>
      </c>
      <c r="K13" s="27"/>
      <c r="M13" s="209"/>
    </row>
    <row r="14" spans="1:16" ht="15" customHeight="1" x14ac:dyDescent="0.2">
      <c r="J14" s="27"/>
      <c r="K14" s="27"/>
      <c r="L14" s="27"/>
      <c r="M14" s="27"/>
    </row>
    <row r="15" spans="1:16" ht="15" customHeight="1" x14ac:dyDescent="0.2">
      <c r="D15" s="210"/>
      <c r="E15" s="118" t="s">
        <v>1971</v>
      </c>
      <c r="F15" s="208"/>
      <c r="I15" s="27"/>
      <c r="J15" s="27"/>
      <c r="K15" s="27"/>
      <c r="L15" s="27"/>
      <c r="M15" s="27"/>
    </row>
    <row r="16" spans="1:16" ht="15" customHeight="1" x14ac:dyDescent="0.2">
      <c r="D16" s="214"/>
      <c r="E16" s="215"/>
      <c r="F16" s="215"/>
      <c r="G16" s="27"/>
      <c r="H16" s="27"/>
      <c r="I16" s="27"/>
      <c r="J16" s="27"/>
      <c r="K16" s="27"/>
      <c r="L16" s="27"/>
    </row>
    <row r="17" spans="4:15" ht="15" customHeight="1" x14ac:dyDescent="0.2">
      <c r="D17" s="255" t="s">
        <v>584</v>
      </c>
      <c r="E17" s="255"/>
      <c r="F17" s="255" t="s">
        <v>1121</v>
      </c>
      <c r="G17" s="255"/>
      <c r="H17" s="255" t="s">
        <v>585</v>
      </c>
      <c r="I17" s="255"/>
      <c r="J17" s="255" t="s">
        <v>586</v>
      </c>
      <c r="K17" s="255"/>
      <c r="L17" s="754" t="s">
        <v>587</v>
      </c>
      <c r="M17" s="754"/>
    </row>
    <row r="18" spans="4:15" ht="15" customHeight="1" x14ac:dyDescent="0.2">
      <c r="D18" s="266" t="s">
        <v>588</v>
      </c>
      <c r="F18" s="265" t="s">
        <v>589</v>
      </c>
      <c r="G18" s="265"/>
      <c r="H18" s="218">
        <f>CitrusProd!J33</f>
        <v>5.8266666666666671</v>
      </c>
      <c r="I18" s="263"/>
      <c r="J18" s="17">
        <v>60</v>
      </c>
      <c r="K18" s="265"/>
      <c r="L18" s="854">
        <f t="shared" ref="L18:L25" si="0">H18*J18</f>
        <v>349.6</v>
      </c>
      <c r="M18" s="854"/>
      <c r="N18" s="265"/>
    </row>
    <row r="19" spans="4:15" ht="15" customHeight="1" x14ac:dyDescent="0.2">
      <c r="D19" s="266" t="s">
        <v>590</v>
      </c>
      <c r="F19" s="265" t="s">
        <v>589</v>
      </c>
      <c r="G19" s="265"/>
      <c r="H19" s="218">
        <f>CitrusProd!J34</f>
        <v>0</v>
      </c>
      <c r="I19" s="263"/>
      <c r="J19" s="18">
        <v>40</v>
      </c>
      <c r="K19" s="265"/>
      <c r="L19" s="854">
        <f t="shared" si="0"/>
        <v>0</v>
      </c>
      <c r="M19" s="854"/>
      <c r="N19" s="265"/>
    </row>
    <row r="20" spans="4:15" ht="15" customHeight="1" x14ac:dyDescent="0.2">
      <c r="D20" s="266" t="s">
        <v>591</v>
      </c>
      <c r="F20" s="265" t="s">
        <v>589</v>
      </c>
      <c r="G20" s="265"/>
      <c r="H20" s="218">
        <f>CitrusProd!J32</f>
        <v>46.666666666666671</v>
      </c>
      <c r="I20" s="263"/>
      <c r="J20" s="18">
        <v>4.5</v>
      </c>
      <c r="K20" s="265"/>
      <c r="L20" s="854">
        <f t="shared" si="0"/>
        <v>210.00000000000003</v>
      </c>
      <c r="M20" s="854"/>
    </row>
    <row r="21" spans="4:15" ht="15" customHeight="1" x14ac:dyDescent="0.2">
      <c r="D21" s="266" t="s">
        <v>716</v>
      </c>
      <c r="F21" s="265" t="s">
        <v>631</v>
      </c>
      <c r="G21" s="265"/>
      <c r="H21" s="10">
        <v>0</v>
      </c>
      <c r="I21" s="263"/>
      <c r="J21" s="18">
        <v>23</v>
      </c>
      <c r="K21" s="265"/>
      <c r="L21" s="854">
        <f t="shared" si="0"/>
        <v>0</v>
      </c>
      <c r="M21" s="854"/>
    </row>
    <row r="22" spans="4:15" ht="15" customHeight="1" x14ac:dyDescent="0.2">
      <c r="D22" s="266" t="s">
        <v>592</v>
      </c>
      <c r="F22" s="265" t="s">
        <v>631</v>
      </c>
      <c r="G22" s="265"/>
      <c r="H22" s="237">
        <v>25</v>
      </c>
      <c r="I22" s="263"/>
      <c r="J22" s="18">
        <v>16</v>
      </c>
      <c r="K22" s="265"/>
      <c r="L22" s="854">
        <f t="shared" si="0"/>
        <v>400</v>
      </c>
      <c r="M22" s="854"/>
    </row>
    <row r="23" spans="4:15" ht="15" customHeight="1" x14ac:dyDescent="0.2">
      <c r="D23" s="266" t="s">
        <v>593</v>
      </c>
      <c r="F23" s="265" t="s">
        <v>631</v>
      </c>
      <c r="G23" s="265"/>
      <c r="H23" s="237">
        <v>0</v>
      </c>
      <c r="I23" s="263"/>
      <c r="J23" s="18">
        <v>30</v>
      </c>
      <c r="K23" s="265"/>
      <c r="L23" s="854">
        <f t="shared" si="0"/>
        <v>0</v>
      </c>
      <c r="M23" s="854"/>
    </row>
    <row r="24" spans="4:15" ht="15" customHeight="1" x14ac:dyDescent="0.2">
      <c r="D24" s="266" t="s">
        <v>594</v>
      </c>
      <c r="F24" s="265" t="s">
        <v>631</v>
      </c>
      <c r="G24" s="265"/>
      <c r="H24" s="237">
        <v>0</v>
      </c>
      <c r="I24" s="263"/>
      <c r="J24" s="18">
        <v>40</v>
      </c>
      <c r="K24" s="265"/>
      <c r="L24" s="854">
        <f t="shared" si="0"/>
        <v>0</v>
      </c>
      <c r="M24" s="854"/>
    </row>
    <row r="25" spans="4:15" ht="15" customHeight="1" x14ac:dyDescent="0.2">
      <c r="D25" s="266" t="s">
        <v>426</v>
      </c>
      <c r="F25" s="265" t="s">
        <v>775</v>
      </c>
      <c r="G25" s="265"/>
      <c r="H25" s="237">
        <v>0</v>
      </c>
      <c r="I25" s="263"/>
      <c r="J25" s="19">
        <v>85</v>
      </c>
      <c r="K25" s="265"/>
      <c r="L25" s="854">
        <f t="shared" si="0"/>
        <v>0</v>
      </c>
      <c r="M25" s="854"/>
    </row>
    <row r="26" spans="4:15" ht="15" customHeight="1" x14ac:dyDescent="0.2">
      <c r="D26" s="216" t="s">
        <v>587</v>
      </c>
      <c r="E26" s="216"/>
      <c r="F26" s="255"/>
      <c r="G26" s="255"/>
      <c r="H26" s="255"/>
      <c r="I26" s="255"/>
      <c r="J26" s="255"/>
      <c r="K26" s="255"/>
      <c r="L26" s="855">
        <f>L18+L19+L20+L21+L22+L23+L24+L25</f>
        <v>959.6</v>
      </c>
      <c r="M26" s="855"/>
    </row>
    <row r="27" spans="4:15" ht="15" customHeight="1" x14ac:dyDescent="0.2">
      <c r="F27" s="265"/>
      <c r="G27" s="265"/>
      <c r="H27" s="265"/>
      <c r="I27" s="265"/>
      <c r="J27" s="265"/>
      <c r="K27" s="265"/>
      <c r="M27" s="265"/>
    </row>
    <row r="28" spans="4:15" ht="15" customHeight="1" x14ac:dyDescent="0.2">
      <c r="D28" s="217" t="s">
        <v>595</v>
      </c>
      <c r="E28" s="255"/>
      <c r="F28" s="255" t="s">
        <v>1121</v>
      </c>
      <c r="G28" s="255"/>
      <c r="H28" s="255" t="s">
        <v>585</v>
      </c>
      <c r="I28" s="255"/>
      <c r="J28" s="255" t="s">
        <v>586</v>
      </c>
      <c r="K28" s="255"/>
      <c r="L28" s="754" t="s">
        <v>587</v>
      </c>
      <c r="M28" s="754"/>
    </row>
    <row r="29" spans="4:15" ht="15" customHeight="1" x14ac:dyDescent="0.2">
      <c r="D29" s="266" t="s">
        <v>596</v>
      </c>
      <c r="F29" s="265" t="s">
        <v>610</v>
      </c>
      <c r="G29" s="265"/>
      <c r="H29" s="237">
        <v>10</v>
      </c>
      <c r="I29" s="265"/>
      <c r="J29" s="20">
        <v>30</v>
      </c>
      <c r="K29" s="265"/>
      <c r="L29" s="864">
        <f t="shared" ref="L29:L34" si="1">H29*J29</f>
        <v>300</v>
      </c>
      <c r="M29" s="864"/>
    </row>
    <row r="30" spans="4:15" ht="15" customHeight="1" x14ac:dyDescent="0.2">
      <c r="D30" s="266" t="s">
        <v>625</v>
      </c>
      <c r="F30" s="265" t="s">
        <v>610</v>
      </c>
      <c r="G30" s="265"/>
      <c r="H30" s="237">
        <v>15</v>
      </c>
      <c r="I30" s="265"/>
      <c r="J30" s="20">
        <v>30</v>
      </c>
      <c r="K30" s="265"/>
      <c r="L30" s="864">
        <f t="shared" si="1"/>
        <v>450</v>
      </c>
      <c r="M30" s="864"/>
      <c r="O30" s="211"/>
    </row>
    <row r="31" spans="4:15" ht="15" customHeight="1" x14ac:dyDescent="0.2">
      <c r="D31" s="266" t="s">
        <v>954</v>
      </c>
      <c r="F31" s="265" t="s">
        <v>610</v>
      </c>
      <c r="G31" s="265"/>
      <c r="H31" s="237">
        <v>13</v>
      </c>
      <c r="I31" s="265"/>
      <c r="J31" s="20">
        <v>30</v>
      </c>
      <c r="K31" s="265"/>
      <c r="L31" s="864">
        <f t="shared" si="1"/>
        <v>390</v>
      </c>
      <c r="M31" s="864"/>
    </row>
    <row r="32" spans="4:15" ht="15" customHeight="1" x14ac:dyDescent="0.2">
      <c r="D32" s="266" t="s">
        <v>611</v>
      </c>
      <c r="F32" s="265" t="s">
        <v>610</v>
      </c>
      <c r="G32" s="265"/>
      <c r="H32" s="237">
        <v>8</v>
      </c>
      <c r="I32" s="265"/>
      <c r="J32" s="20">
        <v>60</v>
      </c>
      <c r="K32" s="265"/>
      <c r="L32" s="864">
        <f t="shared" si="1"/>
        <v>480</v>
      </c>
      <c r="M32" s="864"/>
    </row>
    <row r="33" spans="4:14" ht="15" customHeight="1" x14ac:dyDescent="0.2">
      <c r="D33" s="266" t="s">
        <v>548</v>
      </c>
      <c r="F33" s="265" t="s">
        <v>610</v>
      </c>
      <c r="G33" s="265"/>
      <c r="H33" s="237">
        <v>40</v>
      </c>
      <c r="I33" s="265"/>
      <c r="J33" s="20">
        <v>30</v>
      </c>
      <c r="K33" s="265"/>
      <c r="L33" s="864">
        <f t="shared" si="1"/>
        <v>1200</v>
      </c>
      <c r="M33" s="864"/>
      <c r="N33" s="265"/>
    </row>
    <row r="34" spans="4:14" ht="15" customHeight="1" x14ac:dyDescent="0.2">
      <c r="D34" s="27" t="s">
        <v>613</v>
      </c>
      <c r="E34" s="27"/>
      <c r="F34" s="265" t="s">
        <v>610</v>
      </c>
      <c r="G34" s="263"/>
      <c r="H34" s="5">
        <v>30</v>
      </c>
      <c r="I34" s="263"/>
      <c r="J34" s="20">
        <v>30</v>
      </c>
      <c r="K34" s="263"/>
      <c r="L34" s="864">
        <f t="shared" si="1"/>
        <v>900</v>
      </c>
      <c r="M34" s="864"/>
    </row>
    <row r="35" spans="4:14" ht="15" customHeight="1" x14ac:dyDescent="0.2">
      <c r="D35" s="216" t="s">
        <v>587</v>
      </c>
      <c r="E35" s="216"/>
      <c r="F35" s="255"/>
      <c r="G35" s="255"/>
      <c r="H35" s="255"/>
      <c r="I35" s="255"/>
      <c r="J35" s="255"/>
      <c r="K35" s="255"/>
      <c r="L35" s="855">
        <f>L29+L30+L31+L32+L33+L34</f>
        <v>3720</v>
      </c>
      <c r="M35" s="855"/>
    </row>
    <row r="36" spans="4:14" ht="15" customHeight="1" x14ac:dyDescent="0.2">
      <c r="H36" s="265"/>
      <c r="J36" s="265"/>
      <c r="M36" s="265"/>
    </row>
    <row r="37" spans="4:14" ht="15" customHeight="1" x14ac:dyDescent="0.2">
      <c r="F37" s="266" t="s">
        <v>619</v>
      </c>
      <c r="I37" s="225" t="s">
        <v>620</v>
      </c>
      <c r="J37" s="869">
        <f>L26+L35</f>
        <v>4679.6000000000004</v>
      </c>
      <c r="K37" s="870"/>
      <c r="M37" s="265"/>
    </row>
    <row r="38" spans="4:14" ht="15" customHeight="1" x14ac:dyDescent="0.2">
      <c r="I38" s="225"/>
    </row>
    <row r="39" spans="4:14" ht="15" customHeight="1" x14ac:dyDescent="0.2">
      <c r="F39" s="266" t="s">
        <v>621</v>
      </c>
      <c r="I39" s="225" t="s">
        <v>620</v>
      </c>
      <c r="J39" s="869">
        <f>J37/I11</f>
        <v>4679.6000000000004</v>
      </c>
      <c r="K39" s="870"/>
    </row>
    <row r="40" spans="4:14" ht="15" customHeight="1" x14ac:dyDescent="0.2">
      <c r="I40" s="225"/>
      <c r="J40" s="212"/>
    </row>
    <row r="41" spans="4:14" ht="15" customHeight="1" x14ac:dyDescent="0.2">
      <c r="F41" s="266" t="s">
        <v>26</v>
      </c>
      <c r="I41" s="225" t="s">
        <v>620</v>
      </c>
      <c r="J41" s="865">
        <v>6</v>
      </c>
      <c r="K41" s="866"/>
    </row>
    <row r="42" spans="4:14" ht="15" customHeight="1" x14ac:dyDescent="0.2">
      <c r="I42" s="225"/>
    </row>
    <row r="43" spans="4:14" ht="15" customHeight="1" x14ac:dyDescent="0.2">
      <c r="F43" s="169" t="s">
        <v>623</v>
      </c>
      <c r="I43" s="225" t="s">
        <v>620</v>
      </c>
      <c r="J43" s="867">
        <f>(I13*J41)-J37</f>
        <v>2520.3999999999996</v>
      </c>
      <c r="K43" s="868"/>
    </row>
    <row r="44" spans="4:14" ht="15" customHeight="1" x14ac:dyDescent="0.2">
      <c r="I44" s="225"/>
      <c r="J44" s="213"/>
    </row>
    <row r="45" spans="4:14" ht="15" customHeight="1" x14ac:dyDescent="0.2">
      <c r="F45" s="169" t="s">
        <v>624</v>
      </c>
      <c r="I45" s="225" t="s">
        <v>620</v>
      </c>
      <c r="J45" s="867">
        <f>J43/I11</f>
        <v>2520.3999999999996</v>
      </c>
      <c r="K45" s="868"/>
    </row>
    <row r="46" spans="4:14" ht="15" customHeight="1" x14ac:dyDescent="0.2"/>
    <row r="47" spans="4:14" ht="15" hidden="1" customHeight="1" x14ac:dyDescent="0.2"/>
    <row r="48" spans="4:14" ht="15" hidden="1" customHeight="1" x14ac:dyDescent="0.2"/>
    <row r="49" spans="2:2" ht="15" hidden="1" customHeight="1" x14ac:dyDescent="0.2"/>
    <row r="50" spans="2:2" ht="15" hidden="1" customHeight="1" x14ac:dyDescent="0.2"/>
    <row r="51" spans="2:2" ht="15" hidden="1" customHeight="1" x14ac:dyDescent="0.2"/>
    <row r="52" spans="2:2" ht="15" hidden="1" customHeight="1" x14ac:dyDescent="0.2"/>
    <row r="53" spans="2:2" ht="15" hidden="1" customHeight="1" x14ac:dyDescent="0.2"/>
    <row r="54" spans="2:2" ht="15" hidden="1" customHeight="1" x14ac:dyDescent="0.2"/>
    <row r="55" spans="2:2" ht="15" hidden="1" customHeight="1" x14ac:dyDescent="0.2">
      <c r="B55" s="207"/>
    </row>
    <row r="56" spans="2:2" ht="15" hidden="1" customHeight="1" x14ac:dyDescent="0.2"/>
    <row r="57" spans="2:2" ht="15" hidden="1" customHeight="1" x14ac:dyDescent="0.2"/>
    <row r="58" spans="2:2" ht="15" hidden="1" customHeight="1" x14ac:dyDescent="0.2"/>
    <row r="59" spans="2:2" ht="15" hidden="1" customHeight="1" x14ac:dyDescent="0.2"/>
    <row r="60" spans="2:2" ht="15" hidden="1" customHeight="1" x14ac:dyDescent="0.2"/>
    <row r="61" spans="2:2" ht="15" hidden="1" customHeight="1" x14ac:dyDescent="0.2"/>
    <row r="62" spans="2:2" ht="15" hidden="1" customHeight="1" x14ac:dyDescent="0.2"/>
    <row r="63" spans="2:2" ht="15" hidden="1" customHeight="1" x14ac:dyDescent="0.2"/>
    <row r="64" spans="2:2" ht="15" hidden="1" customHeight="1" x14ac:dyDescent="0.2"/>
    <row r="65" ht="15" hidden="1" customHeight="1" x14ac:dyDescent="0.2"/>
  </sheetData>
  <sheetProtection algorithmName="SHA-512" hashValue="C2tR6f3ouWEf5UrtHdlM4Td9ok0Ou5GqodbtWhl1yvHjFg3ooM1/S/bKFpxkRjWZRngd35WQMKsgx+L06At1yw==" saltValue="hGNv9+dvzC4nuQHwM+vOHA==" spinCount="100000" sheet="1" objects="1" scenarios="1" selectLockedCells="1"/>
  <mergeCells count="25">
    <mergeCell ref="J41:K41"/>
    <mergeCell ref="J43:K43"/>
    <mergeCell ref="J45:K45"/>
    <mergeCell ref="L33:M33"/>
    <mergeCell ref="L34:M34"/>
    <mergeCell ref="L35:M35"/>
    <mergeCell ref="J37:K37"/>
    <mergeCell ref="J39:K39"/>
    <mergeCell ref="L28:M28"/>
    <mergeCell ref="L29:M29"/>
    <mergeCell ref="L30:M30"/>
    <mergeCell ref="L31:M31"/>
    <mergeCell ref="L32:M32"/>
    <mergeCell ref="L25:M25"/>
    <mergeCell ref="L26:M26"/>
    <mergeCell ref="L18:M18"/>
    <mergeCell ref="L19:M19"/>
    <mergeCell ref="L20:M20"/>
    <mergeCell ref="L21:M21"/>
    <mergeCell ref="L22:M22"/>
    <mergeCell ref="C6:N6"/>
    <mergeCell ref="E8:M8"/>
    <mergeCell ref="L17:M17"/>
    <mergeCell ref="L23:M23"/>
    <mergeCell ref="L24:M24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120" verticalDpi="12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6">
    <pageSetUpPr fitToPage="1"/>
  </sheetPr>
  <dimension ref="A1:P25"/>
  <sheetViews>
    <sheetView showGridLines="0" showRowColHeaders="0" zoomScaleNormal="100" workbookViewId="0"/>
  </sheetViews>
  <sheetFormatPr defaultColWidth="0" defaultRowHeight="24.95" customHeight="1" zeroHeight="1" x14ac:dyDescent="0.2"/>
  <cols>
    <col min="1" max="16" width="9.140625" style="266" customWidth="1"/>
    <col min="17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24.9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2212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thickBot="1" x14ac:dyDescent="0.4">
      <c r="H7" s="264" t="s">
        <v>2066</v>
      </c>
      <c r="K7" s="32"/>
      <c r="L7" s="32"/>
      <c r="M7" s="32"/>
      <c r="N7" s="32"/>
      <c r="O7" s="32"/>
      <c r="P7" s="32"/>
    </row>
    <row r="8" spans="1:16" ht="24.95" customHeight="1" thickTop="1" thickBot="1" x14ac:dyDescent="0.25">
      <c r="F8" s="711" t="str">
        <f>HYPERLINK("#"&amp;"'Substrato'!h1","Substrato para a produção de mudas")</f>
        <v>Substrato para a produção de mudas</v>
      </c>
      <c r="G8" s="711"/>
      <c r="H8" s="711"/>
      <c r="I8" s="711"/>
      <c r="J8" s="711"/>
    </row>
    <row r="9" spans="1:16" ht="24.95" customHeight="1" thickTop="1" thickBot="1" x14ac:dyDescent="0.25">
      <c r="F9" s="711" t="str">
        <f>HYPERLINK("#"&amp;"'Plantio3V70'!h1","Plantio")</f>
        <v>Plantio</v>
      </c>
      <c r="G9" s="711"/>
      <c r="H9" s="711"/>
      <c r="I9" s="711"/>
      <c r="J9" s="711"/>
    </row>
    <row r="10" spans="1:16" ht="24.95" customHeight="1" thickTop="1" thickBot="1" x14ac:dyDescent="0.25">
      <c r="F10" s="711" t="str">
        <f>HYPERLINK("#"&amp;"'Coco1a3'!h1","Formação - 1 a 3 anos")</f>
        <v>Formação - 1 a 3 anos</v>
      </c>
      <c r="G10" s="711"/>
      <c r="H10" s="711"/>
      <c r="I10" s="711"/>
      <c r="J10" s="711"/>
      <c r="K10" s="33"/>
    </row>
    <row r="11" spans="1:16" ht="24.95" customHeight="1" thickTop="1" thickBot="1" x14ac:dyDescent="0.25">
      <c r="F11" s="711" t="str">
        <f>HYPERLINK("#"&amp;"'Coco4a5'!h1","Formação - 4 a 5 anos")</f>
        <v>Formação - 4 a 5 anos</v>
      </c>
      <c r="G11" s="711"/>
      <c r="H11" s="711"/>
      <c r="I11" s="711"/>
      <c r="J11" s="711"/>
    </row>
    <row r="12" spans="1:16" s="35" customFormat="1" ht="24.95" customHeight="1" thickTop="1" thickBot="1" x14ac:dyDescent="0.4">
      <c r="F12" s="711" t="str">
        <f>HYPERLINK("#"&amp;"'CocoProd'!h1","Produção (6° ano em diante)")</f>
        <v>Produção (6° ano em diante)</v>
      </c>
      <c r="G12" s="711"/>
      <c r="H12" s="711"/>
      <c r="I12" s="711"/>
      <c r="J12" s="711"/>
    </row>
    <row r="13" spans="1:16" s="32" customFormat="1" ht="24.95" customHeight="1" thickTop="1" x14ac:dyDescent="0.35">
      <c r="D13" s="35"/>
    </row>
    <row r="14" spans="1:16" ht="24.95" hidden="1" customHeight="1" x14ac:dyDescent="0.2">
      <c r="D14" s="36"/>
    </row>
    <row r="15" spans="1:16" ht="24.95" hidden="1" customHeight="1" x14ac:dyDescent="0.2"/>
    <row r="16" spans="1:16" ht="24.95" hidden="1" customHeight="1" x14ac:dyDescent="0.2"/>
    <row r="17" ht="24.95" hidden="1" customHeight="1" x14ac:dyDescent="0.2"/>
    <row r="18" ht="24.95" hidden="1" customHeight="1" x14ac:dyDescent="0.2"/>
    <row r="19" ht="24.95" hidden="1" customHeight="1" x14ac:dyDescent="0.2"/>
    <row r="20" ht="24.95" hidden="1" customHeight="1" x14ac:dyDescent="0.2"/>
    <row r="21" ht="24.95" hidden="1" customHeight="1" x14ac:dyDescent="0.2"/>
    <row r="22" ht="24.95" hidden="1" customHeight="1" x14ac:dyDescent="0.2"/>
    <row r="23" ht="24.95" hidden="1" customHeight="1" x14ac:dyDescent="0.2"/>
    <row r="24" ht="24.95" hidden="1" customHeight="1" x14ac:dyDescent="0.2"/>
    <row r="25" ht="24.95" hidden="1" customHeight="1" x14ac:dyDescent="0.2"/>
  </sheetData>
  <sheetProtection algorithmName="SHA-512" hashValue="An0GqmDdROQAIKlCXEDq5TPtvM0z7ifOXkU4vYOPZncPDixZRLQ7Qi9YG/fJ6SqOVRzCEA2TE/wNsaCZdf4RFw==" saltValue="88ed7hMZNRDD0J4l0kVWvQ==" spinCount="100000" sheet="1" objects="1" scenarios="1"/>
  <mergeCells count="6">
    <mergeCell ref="F12:J12"/>
    <mergeCell ref="C6:N6"/>
    <mergeCell ref="F8:J8"/>
    <mergeCell ref="F9:J9"/>
    <mergeCell ref="F10:J10"/>
    <mergeCell ref="F11:J11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8">
    <pageSetUpPr fitToPage="1"/>
  </sheetPr>
  <dimension ref="A1:AA90"/>
  <sheetViews>
    <sheetView showGridLines="0" showRowColHeaders="0" zoomScaleNormal="100" zoomScaleSheetLayoutView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7" width="0" style="266" hidden="1" customWidth="1"/>
    <col min="28" max="16384" width="9.140625" style="266" hidden="1"/>
  </cols>
  <sheetData>
    <row r="1" spans="1:27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7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7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7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7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7" ht="24.95" customHeight="1" x14ac:dyDescent="0.2">
      <c r="C6" s="699" t="s">
        <v>2239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7" ht="15" customHeight="1" x14ac:dyDescent="0.2"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27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7" ht="15" customHeight="1" x14ac:dyDescent="0.2"/>
    <row r="10" spans="1:27" ht="15" customHeight="1" x14ac:dyDescent="0.2">
      <c r="D10" s="169" t="s">
        <v>1858</v>
      </c>
    </row>
    <row r="11" spans="1:27" ht="15" customHeight="1" x14ac:dyDescent="0.2">
      <c r="E11" s="49" t="s">
        <v>2236</v>
      </c>
    </row>
    <row r="12" spans="1:27" ht="15" customHeight="1" x14ac:dyDescent="0.2"/>
    <row r="13" spans="1:27" ht="15" customHeight="1" x14ac:dyDescent="0.2">
      <c r="D13" s="169" t="s">
        <v>106</v>
      </c>
    </row>
    <row r="14" spans="1:27" s="27" customFormat="1" ht="15" customHeight="1" x14ac:dyDescent="0.2">
      <c r="D14" s="49" t="s">
        <v>1703</v>
      </c>
      <c r="G14" s="237">
        <v>5</v>
      </c>
      <c r="H14" s="356" t="s">
        <v>1953</v>
      </c>
      <c r="J14" s="266"/>
      <c r="K14" s="266"/>
      <c r="L14" s="266"/>
      <c r="M14" s="266"/>
    </row>
    <row r="15" spans="1:27" s="27" customFormat="1" ht="15" customHeight="1" x14ac:dyDescent="0.2">
      <c r="D15" s="266"/>
      <c r="G15" s="237">
        <v>150</v>
      </c>
      <c r="H15" s="356" t="s">
        <v>1933</v>
      </c>
      <c r="J15" s="266"/>
      <c r="K15" s="266"/>
      <c r="V15" s="26"/>
      <c r="W15" s="26"/>
      <c r="X15" s="26"/>
      <c r="Y15" s="26"/>
      <c r="Z15" s="26"/>
      <c r="AA15" s="26"/>
    </row>
    <row r="16" spans="1:27" s="27" customFormat="1" ht="15" customHeight="1" x14ac:dyDescent="0.2">
      <c r="D16" s="266"/>
      <c r="E16" s="266"/>
      <c r="F16" s="266"/>
      <c r="G16" s="266"/>
      <c r="H16" s="298"/>
      <c r="I16" s="266"/>
      <c r="J16" s="266"/>
      <c r="K16" s="266"/>
      <c r="V16" s="26"/>
      <c r="W16" s="26"/>
      <c r="X16" s="171"/>
      <c r="Y16" s="26"/>
      <c r="Z16" s="26"/>
      <c r="AA16" s="26"/>
    </row>
    <row r="17" spans="4:27" s="27" customFormat="1" ht="15" customHeight="1" x14ac:dyDescent="0.2">
      <c r="F17" s="399" t="s">
        <v>638</v>
      </c>
      <c r="G17" s="224">
        <f>W17*5</f>
        <v>500</v>
      </c>
      <c r="H17" s="292" t="s">
        <v>2235</v>
      </c>
      <c r="I17" s="169"/>
      <c r="J17" s="266"/>
      <c r="V17" s="26"/>
      <c r="W17" s="325" t="str">
        <f>IF(G14&lt;10,"100",IF(AND(G14&gt;=10,G14&lt;20),"60",IF(AND(G14&gt;=20,G14&lt;50),"30",0)))</f>
        <v>100</v>
      </c>
      <c r="X17" s="26" t="s">
        <v>1138</v>
      </c>
      <c r="Y17" s="171"/>
      <c r="Z17" s="26"/>
      <c r="AA17" s="26"/>
    </row>
    <row r="18" spans="4:27" s="27" customFormat="1" ht="15" customHeight="1" x14ac:dyDescent="0.2">
      <c r="F18" s="226" t="s">
        <v>1139</v>
      </c>
      <c r="G18" s="276">
        <f>(W18*5)/3</f>
        <v>250</v>
      </c>
      <c r="H18" s="292" t="str">
        <f>"g/planta de "&amp;Y18&amp;"."</f>
        <v>g/planta de 20-00-15.</v>
      </c>
      <c r="J18" s="266"/>
      <c r="V18" s="26"/>
      <c r="W18" s="171">
        <v>150</v>
      </c>
      <c r="X18" s="26" t="s">
        <v>385</v>
      </c>
      <c r="Y18" s="292" t="str">
        <f>IF(G15&lt;60,"20-00-30",IF(AND(G15&gt;=60,G15&lt;120),"20-00-20",IF(AND(G15&gt;=120,G15&lt;200),"20-00-15",IF(AND(G15&gt;=200,G15&lt;280),"20-00-10","Sultato de Amônio"))))</f>
        <v>20-00-15</v>
      </c>
      <c r="Z18" s="26"/>
      <c r="AA18" s="26"/>
    </row>
    <row r="19" spans="4:27" ht="15" customHeight="1" x14ac:dyDescent="0.2">
      <c r="H19" s="298"/>
      <c r="V19" s="26"/>
      <c r="W19" s="26"/>
      <c r="X19" s="26"/>
      <c r="Y19" s="26"/>
      <c r="Z19" s="26"/>
      <c r="AA19" s="26"/>
    </row>
    <row r="20" spans="4:27" ht="15" customHeight="1" x14ac:dyDescent="0.2">
      <c r="D20" s="221" t="s">
        <v>2237</v>
      </c>
      <c r="E20" s="27"/>
      <c r="F20" s="27"/>
      <c r="G20" s="27"/>
      <c r="H20" s="292"/>
      <c r="V20" s="26"/>
      <c r="W20" s="26"/>
      <c r="X20" s="26"/>
      <c r="Y20" s="26"/>
      <c r="Z20" s="26"/>
      <c r="AA20" s="26"/>
    </row>
    <row r="21" spans="4:27" ht="15" customHeight="1" x14ac:dyDescent="0.2">
      <c r="D21" s="49" t="s">
        <v>1703</v>
      </c>
      <c r="G21" s="237">
        <v>5</v>
      </c>
      <c r="H21" s="356" t="s">
        <v>1953</v>
      </c>
      <c r="V21" s="27"/>
      <c r="Z21" s="27"/>
      <c r="AA21" s="27"/>
    </row>
    <row r="22" spans="4:27" s="27" customFormat="1" ht="15" customHeight="1" x14ac:dyDescent="0.2">
      <c r="D22" s="266"/>
      <c r="F22" s="266"/>
      <c r="G22" s="237">
        <v>150</v>
      </c>
      <c r="H22" s="356" t="s">
        <v>1933</v>
      </c>
      <c r="I22" s="266"/>
      <c r="J22" s="266"/>
      <c r="K22" s="266"/>
      <c r="L22" s="266"/>
      <c r="M22" s="266"/>
    </row>
    <row r="23" spans="4:27" s="27" customFormat="1" ht="15" customHeight="1" x14ac:dyDescent="0.2">
      <c r="D23" s="266"/>
      <c r="F23" s="266"/>
      <c r="G23" s="271"/>
      <c r="H23" s="298"/>
      <c r="I23" s="266"/>
      <c r="J23" s="266"/>
      <c r="K23" s="266"/>
      <c r="L23" s="266"/>
      <c r="M23" s="266"/>
    </row>
    <row r="24" spans="4:27" s="27" customFormat="1" ht="15" customHeight="1" x14ac:dyDescent="0.2">
      <c r="D24" s="266"/>
      <c r="E24" s="266"/>
      <c r="F24" s="399" t="s">
        <v>638</v>
      </c>
      <c r="G24" s="224">
        <f>W24*5</f>
        <v>750</v>
      </c>
      <c r="H24" s="292" t="s">
        <v>2235</v>
      </c>
      <c r="I24" s="169"/>
      <c r="J24" s="266"/>
      <c r="K24" s="266"/>
      <c r="L24" s="266"/>
      <c r="M24" s="266"/>
      <c r="N24" s="263"/>
      <c r="W24" s="279" t="str">
        <f>IF(G21&lt;10,"150",IF(AND(G21&gt;=10,G21&lt;20),"100",IF(AND(G21&gt;=20,G21&lt;50),"60",0)))</f>
        <v>150</v>
      </c>
      <c r="X24" s="27" t="s">
        <v>1138</v>
      </c>
    </row>
    <row r="25" spans="4:27" s="27" customFormat="1" ht="15" customHeight="1" x14ac:dyDescent="0.2">
      <c r="F25" s="226" t="s">
        <v>1139</v>
      </c>
      <c r="G25" s="276">
        <f>(W25*5)/3</f>
        <v>333.33333333333331</v>
      </c>
      <c r="H25" s="292" t="str">
        <f>"g/planta de "&amp;Y25&amp;"."</f>
        <v>g/planta de 20-00-15.</v>
      </c>
      <c r="J25" s="266"/>
      <c r="O25" s="263"/>
      <c r="W25" s="208">
        <v>200</v>
      </c>
      <c r="X25" s="27" t="s">
        <v>385</v>
      </c>
      <c r="Y25" s="292" t="str">
        <f>IF(G22&lt;60,"20-00-30",IF(AND(G22&gt;=60,G22&lt;120),"20-00-20",IF(AND(G22&gt;=120,G22&lt;200),"20-00-15",IF(AND(G22&gt;=200,G22&lt;280),"20-00-10","Sultato de Amônio"))))</f>
        <v>20-00-15</v>
      </c>
    </row>
    <row r="26" spans="4:27" s="27" customFormat="1" ht="15" customHeight="1" x14ac:dyDescent="0.2">
      <c r="H26" s="298"/>
      <c r="I26" s="266"/>
      <c r="J26" s="266"/>
      <c r="O26" s="263"/>
    </row>
    <row r="27" spans="4:27" ht="15" customHeight="1" x14ac:dyDescent="0.2">
      <c r="D27" s="277" t="s">
        <v>2226</v>
      </c>
      <c r="E27" s="27"/>
      <c r="F27" s="27"/>
      <c r="G27" s="27"/>
      <c r="H27" s="292"/>
      <c r="L27" s="26"/>
      <c r="M27" s="26"/>
      <c r="N27" s="26"/>
      <c r="O27" s="26"/>
    </row>
    <row r="28" spans="4:27" s="281" customFormat="1" ht="15" customHeight="1" x14ac:dyDescent="0.2">
      <c r="D28" s="49" t="s">
        <v>1703</v>
      </c>
      <c r="E28" s="283"/>
      <c r="F28" s="283"/>
      <c r="G28" s="237">
        <v>20</v>
      </c>
      <c r="H28" s="356" t="s">
        <v>1929</v>
      </c>
      <c r="L28" s="273"/>
      <c r="M28" s="273"/>
      <c r="N28" s="273"/>
      <c r="O28" s="273"/>
    </row>
    <row r="29" spans="4:27" s="281" customFormat="1" ht="15" customHeight="1" x14ac:dyDescent="0.2">
      <c r="D29" s="275"/>
      <c r="E29" s="283"/>
      <c r="F29" s="283"/>
      <c r="G29" s="5">
        <v>7</v>
      </c>
      <c r="H29" s="356" t="s">
        <v>1934</v>
      </c>
      <c r="L29" s="273"/>
      <c r="M29" s="273"/>
      <c r="N29" s="273"/>
      <c r="O29" s="273"/>
    </row>
    <row r="30" spans="4:27" ht="15" customHeight="1" x14ac:dyDescent="0.2">
      <c r="D30" s="281"/>
      <c r="G30" s="281"/>
      <c r="H30" s="292"/>
      <c r="I30" s="283"/>
      <c r="J30" s="283"/>
      <c r="K30" s="263"/>
      <c r="L30" s="273"/>
      <c r="M30" s="315"/>
      <c r="N30" s="26"/>
      <c r="O30" s="26"/>
    </row>
    <row r="31" spans="4:27" ht="15" customHeight="1" x14ac:dyDescent="0.2">
      <c r="D31" s="273" t="s">
        <v>340</v>
      </c>
      <c r="G31" s="237">
        <v>80</v>
      </c>
      <c r="H31" s="292" t="s">
        <v>341</v>
      </c>
      <c r="I31" s="272"/>
      <c r="J31" s="272"/>
      <c r="K31" s="272"/>
      <c r="L31" s="273"/>
      <c r="M31" s="315"/>
      <c r="N31" s="26"/>
      <c r="O31" s="26"/>
    </row>
    <row r="32" spans="4:27" ht="15" customHeight="1" x14ac:dyDescent="0.2">
      <c r="D32" s="281"/>
      <c r="G32" s="281"/>
      <c r="H32" s="292"/>
      <c r="I32" s="283"/>
      <c r="J32" s="283"/>
      <c r="K32" s="263"/>
      <c r="L32" s="273"/>
      <c r="M32" s="273"/>
      <c r="N32" s="26"/>
      <c r="O32" s="26"/>
    </row>
    <row r="33" spans="2:15" ht="15" customHeight="1" x14ac:dyDescent="0.2">
      <c r="D33" s="273" t="s">
        <v>1708</v>
      </c>
      <c r="E33" s="283"/>
      <c r="G33" s="220">
        <f>IF((G29*(60-G28)/G31)&gt;0,G29*(60-G28)/G31,0)</f>
        <v>3.5</v>
      </c>
      <c r="H33" s="292" t="s">
        <v>2238</v>
      </c>
      <c r="I33" s="281"/>
      <c r="J33" s="281"/>
      <c r="K33" s="281"/>
      <c r="L33" s="273"/>
      <c r="M33" s="273"/>
      <c r="N33" s="26"/>
      <c r="O33" s="26"/>
    </row>
    <row r="34" spans="2:15" ht="15" customHeight="1" x14ac:dyDescent="0.2">
      <c r="H34" s="281"/>
      <c r="I34" s="281"/>
      <c r="J34" s="281"/>
      <c r="K34" s="281"/>
      <c r="L34" s="273"/>
      <c r="M34" s="273"/>
      <c r="N34" s="26"/>
      <c r="O34" s="26"/>
    </row>
    <row r="35" spans="2:15" s="281" customFormat="1" ht="15" customHeight="1" x14ac:dyDescent="0.2"/>
    <row r="36" spans="2:15" ht="15" customHeight="1" x14ac:dyDescent="0.2"/>
    <row r="37" spans="2:15" ht="15" customHeight="1" x14ac:dyDescent="0.2"/>
    <row r="38" spans="2:15" ht="15" customHeight="1" x14ac:dyDescent="0.2"/>
    <row r="39" spans="2:15" s="281" customFormat="1" ht="15" customHeight="1" x14ac:dyDescent="0.2"/>
    <row r="40" spans="2:15" s="281" customFormat="1" ht="15" customHeight="1" x14ac:dyDescent="0.2"/>
    <row r="41" spans="2:15" s="60" customFormat="1" ht="15" customHeight="1" x14ac:dyDescent="0.2"/>
    <row r="42" spans="2:15" s="60" customFormat="1" ht="15" customHeight="1" x14ac:dyDescent="0.2">
      <c r="D42" s="226" t="s">
        <v>891</v>
      </c>
      <c r="E42" s="717">
        <f ca="1">TODAY()</f>
        <v>45064</v>
      </c>
      <c r="F42" s="714"/>
      <c r="G42" s="60" t="s">
        <v>373</v>
      </c>
    </row>
    <row r="43" spans="2:15" s="60" customFormat="1" ht="15" customHeight="1" x14ac:dyDescent="0.2">
      <c r="B43" s="267"/>
      <c r="C43" s="267"/>
    </row>
    <row r="44" spans="2:15" ht="15" hidden="1" customHeight="1" x14ac:dyDescent="0.2"/>
    <row r="45" spans="2:15" ht="15" hidden="1" customHeight="1" x14ac:dyDescent="0.2"/>
    <row r="46" spans="2:15" ht="15" hidden="1" customHeight="1" x14ac:dyDescent="0.2"/>
    <row r="47" spans="2:15" ht="15" hidden="1" customHeight="1" x14ac:dyDescent="0.2"/>
    <row r="48" spans="2:15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  <row r="85" ht="15" hidden="1" customHeight="1" x14ac:dyDescent="0.2"/>
    <row r="86" ht="15" hidden="1" customHeight="1" x14ac:dyDescent="0.2"/>
    <row r="87" ht="15" hidden="1" customHeight="1" x14ac:dyDescent="0.2"/>
    <row r="88" ht="15" hidden="1" customHeight="1" x14ac:dyDescent="0.2"/>
    <row r="89" ht="15" hidden="1" customHeight="1" x14ac:dyDescent="0.2"/>
    <row r="90" ht="15" hidden="1" customHeight="1" x14ac:dyDescent="0.2"/>
  </sheetData>
  <sheetProtection algorithmName="SHA-512" hashValue="5s4RYdrHDa4gWm2Em4zYehrQN34bwWwsjLeCiH/ELui0cFqaXlKonTNMUGAoPxf+SGv8hQ9P/wUZ3vEpBLu9Lw==" saltValue="o86rBHVaChxWraC3NHylYg==" spinCount="100000" sheet="1" objects="1" scenarios="1" selectLockedCells="1"/>
  <mergeCells count="3">
    <mergeCell ref="C6:N6"/>
    <mergeCell ref="E42:F42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9">
    <pageSetUpPr fitToPage="1"/>
  </sheetPr>
  <dimension ref="A1:Z8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6" width="0" style="266" hidden="1" customWidth="1"/>
    <col min="27" max="16384" width="9.140625" style="266" hidden="1"/>
  </cols>
  <sheetData>
    <row r="1" spans="1:2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2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ht="24.95" customHeight="1" x14ac:dyDescent="0.2">
      <c r="C6" s="699" t="s">
        <v>2240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26" ht="15" customHeight="1" x14ac:dyDescent="0.2"/>
    <row r="8" spans="1:2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26" ht="15" customHeight="1" x14ac:dyDescent="0.2"/>
    <row r="10" spans="1:26" ht="15" customHeight="1" x14ac:dyDescent="0.2">
      <c r="D10" s="221" t="s">
        <v>2241</v>
      </c>
      <c r="E10" s="27"/>
      <c r="F10" s="27"/>
      <c r="G10" s="27"/>
      <c r="H10" s="26"/>
      <c r="I10" s="263"/>
      <c r="J10" s="263"/>
      <c r="K10" s="27"/>
      <c r="L10" s="27"/>
    </row>
    <row r="11" spans="1:26" s="27" customFormat="1" ht="15" customHeight="1" x14ac:dyDescent="0.2">
      <c r="D11" s="49" t="s">
        <v>1703</v>
      </c>
      <c r="G11" s="237">
        <v>5</v>
      </c>
      <c r="H11" s="356" t="s">
        <v>1953</v>
      </c>
      <c r="I11" s="266"/>
      <c r="J11" s="266"/>
      <c r="K11" s="266"/>
      <c r="L11" s="266"/>
    </row>
    <row r="12" spans="1:26" s="27" customFormat="1" ht="15" customHeight="1" x14ac:dyDescent="0.2">
      <c r="D12" s="266"/>
      <c r="G12" s="237">
        <v>80</v>
      </c>
      <c r="H12" s="356" t="s">
        <v>1933</v>
      </c>
      <c r="I12" s="266"/>
      <c r="J12" s="266"/>
      <c r="K12" s="266"/>
      <c r="L12" s="266"/>
    </row>
    <row r="13" spans="1:26" s="27" customFormat="1" ht="15" customHeight="1" x14ac:dyDescent="0.2">
      <c r="D13" s="266"/>
      <c r="E13" s="266"/>
      <c r="F13" s="266"/>
      <c r="G13" s="266"/>
      <c r="H13" s="49"/>
      <c r="I13" s="266"/>
      <c r="J13" s="266"/>
      <c r="K13" s="266"/>
      <c r="L13" s="266"/>
      <c r="M13" s="263"/>
    </row>
    <row r="14" spans="1:26" s="27" customFormat="1" ht="15" customHeight="1" x14ac:dyDescent="0.2">
      <c r="F14" s="399" t="s">
        <v>638</v>
      </c>
      <c r="G14" s="224">
        <f>W14*5</f>
        <v>900</v>
      </c>
      <c r="H14" s="273" t="s">
        <v>2235</v>
      </c>
      <c r="I14" s="266"/>
      <c r="J14" s="266"/>
      <c r="W14" s="325" t="str">
        <f>IF(G11&lt;10,"180",IF(AND(G11&gt;=10,G11&lt;20),"150",IF(AND(G11&gt;=20,G11&lt;50),"80",0)))</f>
        <v>180</v>
      </c>
      <c r="X14" s="26" t="s">
        <v>1138</v>
      </c>
      <c r="Y14" s="171"/>
      <c r="Z14" s="26"/>
    </row>
    <row r="15" spans="1:26" s="27" customFormat="1" ht="15" customHeight="1" x14ac:dyDescent="0.2">
      <c r="F15" s="226" t="s">
        <v>1139</v>
      </c>
      <c r="G15" s="276">
        <f>(W15*5)/3</f>
        <v>500</v>
      </c>
      <c r="H15" s="273" t="str">
        <f>"g/planta de "&amp;Y15&amp;"."</f>
        <v>g/planta de 20-00-20.</v>
      </c>
      <c r="I15" s="266"/>
      <c r="J15" s="266"/>
      <c r="W15" s="171">
        <v>300</v>
      </c>
      <c r="X15" s="26" t="s">
        <v>385</v>
      </c>
      <c r="Y15" s="273" t="str">
        <f>IF(G12&lt;60,"20-00-30",IF(AND(G12&gt;=60,G12&lt;120),"20-00-20",IF(AND(G12&gt;=120,G12&lt;200),"20-00-15",IF(AND(G12&gt;=200,G12&lt;280),"20-00-10","Sultato de Amônio"))))</f>
        <v>20-00-20</v>
      </c>
      <c r="Z15" s="26"/>
    </row>
    <row r="16" spans="1:26" ht="15" customHeight="1" x14ac:dyDescent="0.2">
      <c r="H16" s="49"/>
    </row>
    <row r="17" spans="4:25" ht="15" customHeight="1" x14ac:dyDescent="0.2">
      <c r="D17" s="27" t="s">
        <v>107</v>
      </c>
      <c r="E17" s="27"/>
      <c r="F17" s="27"/>
      <c r="G17" s="27"/>
      <c r="H17" s="26"/>
      <c r="I17" s="263"/>
      <c r="J17" s="263"/>
      <c r="K17" s="27"/>
      <c r="L17" s="27"/>
    </row>
    <row r="18" spans="4:25" s="27" customFormat="1" ht="15" customHeight="1" x14ac:dyDescent="0.2">
      <c r="D18" s="49" t="s">
        <v>1703</v>
      </c>
      <c r="F18" s="266"/>
      <c r="G18" s="237">
        <v>5</v>
      </c>
      <c r="H18" s="356" t="s">
        <v>1953</v>
      </c>
      <c r="I18" s="266"/>
      <c r="J18" s="266"/>
      <c r="K18" s="266"/>
      <c r="L18" s="266"/>
    </row>
    <row r="19" spans="4:25" s="27" customFormat="1" ht="15" customHeight="1" x14ac:dyDescent="0.2">
      <c r="D19" s="266"/>
      <c r="F19" s="266"/>
      <c r="G19" s="237">
        <v>150</v>
      </c>
      <c r="H19" s="356" t="s">
        <v>1933</v>
      </c>
      <c r="I19" s="266"/>
      <c r="J19" s="266"/>
      <c r="K19" s="266"/>
      <c r="L19" s="266"/>
    </row>
    <row r="20" spans="4:25" s="27" customFormat="1" ht="15" customHeight="1" x14ac:dyDescent="0.2">
      <c r="D20" s="266"/>
      <c r="E20" s="266"/>
      <c r="F20" s="266"/>
      <c r="G20" s="266"/>
      <c r="H20" s="49"/>
      <c r="I20" s="266"/>
      <c r="J20" s="266"/>
      <c r="K20" s="266"/>
      <c r="L20" s="266"/>
      <c r="M20" s="263"/>
    </row>
    <row r="21" spans="4:25" s="27" customFormat="1" ht="15" customHeight="1" x14ac:dyDescent="0.2">
      <c r="F21" s="399" t="s">
        <v>638</v>
      </c>
      <c r="G21" s="224">
        <f>W21*5</f>
        <v>1000</v>
      </c>
      <c r="H21" s="273" t="s">
        <v>2235</v>
      </c>
      <c r="I21" s="266"/>
      <c r="J21" s="266"/>
      <c r="W21" s="325" t="str">
        <f>IF(G18&lt;10,"200",IF(AND(G18&gt;=10,G18&lt;20),"180",IF(AND(G18&gt;=20,G18&lt;50),"100",0)))</f>
        <v>200</v>
      </c>
      <c r="X21" s="26" t="s">
        <v>1138</v>
      </c>
      <c r="Y21" s="171"/>
    </row>
    <row r="22" spans="4:25" s="27" customFormat="1" ht="15" customHeight="1" x14ac:dyDescent="0.2">
      <c r="F22" s="226" t="s">
        <v>1139</v>
      </c>
      <c r="G22" s="276">
        <f>(W22*5)/3</f>
        <v>583.33333333333337</v>
      </c>
      <c r="H22" s="273" t="str">
        <f>"g/planta de "&amp;Y22&amp;"."</f>
        <v>g/planta de 20-00-15.</v>
      </c>
      <c r="I22" s="266"/>
      <c r="J22" s="266"/>
      <c r="W22" s="171">
        <v>350</v>
      </c>
      <c r="X22" s="26" t="s">
        <v>385</v>
      </c>
      <c r="Y22" s="273" t="str">
        <f>IF(G19&lt;60,"20-00-30",IF(AND(G19&gt;=60,G19&lt;120),"20-00-20",IF(AND(G19&gt;=120,G19&lt;200),"20-00-15",IF(AND(G19&gt;=200,G19&lt;280),"20-00-10","Sultato de Amônio"))))</f>
        <v>20-00-15</v>
      </c>
    </row>
    <row r="23" spans="4:25" ht="15" customHeight="1" x14ac:dyDescent="0.2">
      <c r="H23" s="49"/>
    </row>
    <row r="24" spans="4:25" s="281" customFormat="1" ht="15" customHeight="1" x14ac:dyDescent="0.2">
      <c r="D24" s="275" t="s">
        <v>108</v>
      </c>
      <c r="E24" s="283"/>
      <c r="F24" s="283"/>
      <c r="G24" s="283"/>
      <c r="H24" s="283"/>
      <c r="K24" s="283"/>
      <c r="L24" s="283"/>
      <c r="M24" s="283"/>
      <c r="N24" s="283"/>
    </row>
    <row r="25" spans="4:25" s="281" customFormat="1" ht="15" customHeight="1" x14ac:dyDescent="0.2">
      <c r="D25" s="170" t="s">
        <v>1703</v>
      </c>
      <c r="E25" s="283"/>
      <c r="F25" s="283"/>
      <c r="G25" s="237">
        <v>20</v>
      </c>
      <c r="H25" s="273" t="s">
        <v>1929</v>
      </c>
      <c r="K25" s="283"/>
      <c r="L25" s="283"/>
      <c r="M25" s="283"/>
      <c r="N25" s="283"/>
    </row>
    <row r="26" spans="4:25" ht="15" customHeight="1" x14ac:dyDescent="0.2">
      <c r="G26" s="5">
        <v>7</v>
      </c>
      <c r="H26" s="273" t="s">
        <v>1934</v>
      </c>
      <c r="I26" s="283"/>
      <c r="J26" s="283"/>
      <c r="K26" s="283"/>
      <c r="L26" s="220"/>
      <c r="M26" s="27"/>
      <c r="N26" s="27"/>
    </row>
    <row r="27" spans="4:25" ht="15" customHeight="1" x14ac:dyDescent="0.2">
      <c r="D27" s="281"/>
      <c r="G27" s="281"/>
      <c r="H27" s="272"/>
      <c r="I27" s="272"/>
      <c r="J27" s="272"/>
      <c r="K27" s="283"/>
      <c r="L27" s="289"/>
      <c r="M27" s="27"/>
      <c r="N27" s="27"/>
    </row>
    <row r="28" spans="4:25" ht="15" customHeight="1" x14ac:dyDescent="0.2">
      <c r="D28" s="273" t="s">
        <v>565</v>
      </c>
      <c r="G28" s="237">
        <v>80</v>
      </c>
      <c r="H28" s="273" t="s">
        <v>341</v>
      </c>
      <c r="I28" s="283"/>
      <c r="J28" s="283"/>
      <c r="K28" s="283"/>
      <c r="L28" s="283"/>
      <c r="M28" s="27"/>
      <c r="N28" s="27"/>
    </row>
    <row r="29" spans="4:25" ht="15" customHeight="1" x14ac:dyDescent="0.2">
      <c r="D29" s="281"/>
      <c r="E29" s="281"/>
      <c r="F29" s="281"/>
      <c r="G29" s="281"/>
      <c r="H29" s="275"/>
      <c r="I29" s="281"/>
      <c r="J29" s="281"/>
      <c r="K29" s="283"/>
      <c r="L29" s="283"/>
      <c r="M29" s="27"/>
      <c r="N29" s="27"/>
    </row>
    <row r="30" spans="4:25" ht="15" customHeight="1" x14ac:dyDescent="0.2">
      <c r="D30" s="273" t="s">
        <v>1708</v>
      </c>
      <c r="E30" s="283"/>
      <c r="G30" s="220">
        <f>IF((G26*(60-G25)/G28)&gt;0,G26*(60-G25)/G28,0)</f>
        <v>3.5</v>
      </c>
      <c r="H30" s="280" t="s">
        <v>243</v>
      </c>
      <c r="I30" s="281"/>
      <c r="J30" s="281"/>
      <c r="K30" s="281"/>
      <c r="L30" s="281"/>
    </row>
    <row r="31" spans="4:25" s="281" customFormat="1" ht="15" customHeight="1" x14ac:dyDescent="0.2">
      <c r="D31" s="275"/>
      <c r="E31" s="283"/>
      <c r="F31" s="283"/>
      <c r="G31" s="283"/>
      <c r="H31" s="283"/>
    </row>
    <row r="32" spans="4:25" ht="15" customHeight="1" x14ac:dyDescent="0.2"/>
    <row r="33" spans="4:7" ht="15" customHeight="1" x14ac:dyDescent="0.2"/>
    <row r="34" spans="4:7" ht="15" customHeight="1" x14ac:dyDescent="0.2"/>
    <row r="35" spans="4:7" s="281" customFormat="1" ht="15" customHeight="1" x14ac:dyDescent="0.2"/>
    <row r="36" spans="4:7" s="281" customFormat="1" ht="15" customHeight="1" x14ac:dyDescent="0.2"/>
    <row r="37" spans="4:7" s="281" customFormat="1" ht="15" customHeight="1" x14ac:dyDescent="0.2"/>
    <row r="38" spans="4:7" s="60" customFormat="1" ht="15" customHeight="1" x14ac:dyDescent="0.2"/>
    <row r="39" spans="4:7" s="60" customFormat="1" ht="15" customHeight="1" x14ac:dyDescent="0.2">
      <c r="D39" s="226" t="s">
        <v>891</v>
      </c>
      <c r="E39" s="717">
        <f ca="1">TODAY()</f>
        <v>45064</v>
      </c>
      <c r="F39" s="714"/>
      <c r="G39" s="60" t="s">
        <v>373</v>
      </c>
    </row>
    <row r="40" spans="4:7" s="60" customFormat="1" ht="15" customHeight="1" x14ac:dyDescent="0.2"/>
    <row r="41" spans="4:7" s="60" customFormat="1" ht="15" hidden="1" customHeight="1" x14ac:dyDescent="0.2"/>
    <row r="42" spans="4:7" s="60" customFormat="1" ht="15" hidden="1" customHeight="1" x14ac:dyDescent="0.2"/>
    <row r="43" spans="4:7" s="60" customFormat="1" ht="15" hidden="1" customHeight="1" x14ac:dyDescent="0.2"/>
    <row r="44" spans="4:7" s="60" customFormat="1" ht="15" hidden="1" customHeight="1" x14ac:dyDescent="0.2"/>
    <row r="45" spans="4:7" s="60" customFormat="1" ht="15" hidden="1" customHeight="1" x14ac:dyDescent="0.2"/>
    <row r="46" spans="4:7" s="60" customFormat="1" ht="15" hidden="1" customHeight="1" x14ac:dyDescent="0.2"/>
    <row r="47" spans="4:7" s="60" customFormat="1" ht="15" hidden="1" customHeight="1" x14ac:dyDescent="0.2"/>
    <row r="48" spans="4:7" s="60" customFormat="1" ht="15" hidden="1" customHeight="1" x14ac:dyDescent="0.2"/>
    <row r="49" spans="2:3" s="60" customFormat="1" ht="15" hidden="1" customHeight="1" x14ac:dyDescent="0.2"/>
    <row r="50" spans="2:3" s="60" customFormat="1" ht="15" hidden="1" customHeight="1" x14ac:dyDescent="0.2"/>
    <row r="51" spans="2:3" s="60" customFormat="1" ht="15" hidden="1" customHeight="1" x14ac:dyDescent="0.2"/>
    <row r="52" spans="2:3" s="60" customFormat="1" ht="15" hidden="1" customHeight="1" x14ac:dyDescent="0.2"/>
    <row r="53" spans="2:3" s="60" customFormat="1" ht="15" hidden="1" customHeight="1" x14ac:dyDescent="0.2"/>
    <row r="54" spans="2:3" s="60" customFormat="1" ht="15" hidden="1" customHeight="1" x14ac:dyDescent="0.2">
      <c r="B54" s="267"/>
      <c r="C54" s="267"/>
    </row>
    <row r="55" spans="2:3" s="60" customFormat="1" ht="15" hidden="1" customHeight="1" x14ac:dyDescent="0.2">
      <c r="B55" s="267"/>
      <c r="C55" s="267"/>
    </row>
    <row r="56" spans="2:3" s="60" customFormat="1" ht="15" hidden="1" customHeight="1" x14ac:dyDescent="0.2">
      <c r="B56" s="267"/>
      <c r="C56" s="267"/>
    </row>
    <row r="57" spans="2:3" s="60" customFormat="1" ht="15" hidden="1" customHeight="1" x14ac:dyDescent="0.2">
      <c r="B57" s="267"/>
      <c r="C57" s="267"/>
    </row>
    <row r="58" spans="2:3" s="60" customFormat="1" ht="15" hidden="1" customHeight="1" x14ac:dyDescent="0.2">
      <c r="B58" s="267"/>
      <c r="C58" s="267"/>
    </row>
    <row r="59" spans="2:3" s="60" customFormat="1" ht="15" hidden="1" customHeight="1" x14ac:dyDescent="0.2">
      <c r="B59" s="267"/>
      <c r="C59" s="267"/>
    </row>
    <row r="60" spans="2:3" s="60" customFormat="1" ht="15" hidden="1" customHeight="1" x14ac:dyDescent="0.2">
      <c r="B60" s="267"/>
      <c r="C60" s="267"/>
    </row>
    <row r="61" spans="2:3" s="60" customFormat="1" ht="15" hidden="1" customHeight="1" x14ac:dyDescent="0.2">
      <c r="B61" s="267"/>
      <c r="C61" s="267"/>
    </row>
    <row r="62" spans="2:3" s="60" customFormat="1" ht="15" hidden="1" customHeight="1" x14ac:dyDescent="0.2">
      <c r="B62" s="267"/>
      <c r="C62" s="267"/>
    </row>
    <row r="63" spans="2:3" s="60" customFormat="1" ht="15" hidden="1" customHeight="1" x14ac:dyDescent="0.2">
      <c r="B63" s="267"/>
      <c r="C63" s="267"/>
    </row>
    <row r="64" spans="2:3" s="60" customFormat="1" ht="15" hidden="1" customHeight="1" x14ac:dyDescent="0.2">
      <c r="B64" s="267"/>
      <c r="C64" s="267"/>
    </row>
    <row r="65" spans="2:3" s="60" customFormat="1" ht="15" hidden="1" customHeight="1" x14ac:dyDescent="0.2">
      <c r="B65" s="267"/>
      <c r="C65" s="267"/>
    </row>
    <row r="66" spans="2:3" s="60" customFormat="1" ht="15" hidden="1" customHeight="1" x14ac:dyDescent="0.2">
      <c r="B66" s="267"/>
      <c r="C66" s="267"/>
    </row>
    <row r="67" spans="2:3" s="60" customFormat="1" ht="15" hidden="1" customHeight="1" x14ac:dyDescent="0.2">
      <c r="B67" s="267"/>
      <c r="C67" s="267"/>
    </row>
    <row r="68" spans="2:3" s="60" customFormat="1" ht="15" hidden="1" customHeight="1" x14ac:dyDescent="0.2">
      <c r="B68" s="267"/>
      <c r="C68" s="267"/>
    </row>
    <row r="69" spans="2:3" s="60" customFormat="1" ht="15" hidden="1" customHeight="1" x14ac:dyDescent="0.2">
      <c r="B69" s="267"/>
      <c r="C69" s="267"/>
    </row>
    <row r="70" spans="2:3" s="60" customFormat="1" ht="15" hidden="1" customHeight="1" x14ac:dyDescent="0.2">
      <c r="B70" s="267"/>
      <c r="C70" s="267"/>
    </row>
    <row r="71" spans="2:3" s="60" customFormat="1" ht="15" hidden="1" customHeight="1" x14ac:dyDescent="0.2">
      <c r="B71" s="267"/>
      <c r="C71" s="267"/>
    </row>
    <row r="72" spans="2:3" s="60" customFormat="1" ht="15" hidden="1" customHeight="1" x14ac:dyDescent="0.2">
      <c r="B72" s="267"/>
      <c r="C72" s="267"/>
    </row>
    <row r="73" spans="2:3" s="60" customFormat="1" ht="15" hidden="1" customHeight="1" x14ac:dyDescent="0.2">
      <c r="B73" s="267"/>
      <c r="C73" s="267"/>
    </row>
    <row r="74" spans="2:3" s="60" customFormat="1" ht="15" hidden="1" customHeight="1" x14ac:dyDescent="0.2">
      <c r="B74" s="267"/>
      <c r="C74" s="267"/>
    </row>
    <row r="75" spans="2:3" s="60" customFormat="1" ht="15" hidden="1" customHeight="1" x14ac:dyDescent="0.2">
      <c r="B75" s="267"/>
      <c r="C75" s="267"/>
    </row>
    <row r="76" spans="2:3" s="60" customFormat="1" ht="15" hidden="1" customHeight="1" x14ac:dyDescent="0.2">
      <c r="B76" s="267"/>
      <c r="C76" s="267"/>
    </row>
    <row r="77" spans="2:3" s="60" customFormat="1" ht="15" hidden="1" customHeight="1" x14ac:dyDescent="0.2">
      <c r="B77" s="267"/>
      <c r="C77" s="267"/>
    </row>
    <row r="78" spans="2:3" s="60" customFormat="1" ht="15" hidden="1" customHeight="1" x14ac:dyDescent="0.2">
      <c r="B78" s="267"/>
      <c r="C78" s="267"/>
    </row>
    <row r="79" spans="2:3" s="60" customFormat="1" ht="15" hidden="1" customHeight="1" x14ac:dyDescent="0.2">
      <c r="B79" s="267"/>
      <c r="C79" s="267"/>
    </row>
    <row r="80" spans="2:3" s="60" customFormat="1" ht="15" hidden="1" customHeight="1" x14ac:dyDescent="0.2">
      <c r="B80" s="267"/>
      <c r="C80" s="267"/>
    </row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  <row r="85" ht="15" hidden="1" customHeight="1" x14ac:dyDescent="0.2"/>
    <row r="86" ht="15" hidden="1" customHeight="1" x14ac:dyDescent="0.2"/>
    <row r="87" ht="15" hidden="1" customHeight="1" x14ac:dyDescent="0.2"/>
    <row r="88" ht="15" hidden="1" customHeight="1" x14ac:dyDescent="0.2"/>
  </sheetData>
  <sheetProtection algorithmName="SHA-512" hashValue="6h/HYzWV2LQ8jHVDdnFqTVpjw4FbkNXG1LTwBGEC2xROm6VqEUd2PPWqtjw80NoMJ65bRrVP/OiwDH78fqrpCQ==" saltValue="4ygE2dMAD/fpTPkSaQOkuA==" spinCount="100000" sheet="1" objects="1" scenarios="1" selectLockedCells="1"/>
  <mergeCells count="3">
    <mergeCell ref="E39:F39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78" orientation="portrait" cellComments="atEnd" horizontalDpi="360" verticalDpi="36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0">
    <pageSetUpPr fitToPage="1"/>
  </sheetPr>
  <dimension ref="A1:Y87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5" width="0" style="266" hidden="1" customWidth="1"/>
    <col min="26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2243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>
      <c r="D10" s="27"/>
      <c r="E10" s="27"/>
      <c r="F10" s="27"/>
      <c r="G10" s="27"/>
      <c r="H10" s="27"/>
      <c r="I10" s="263"/>
      <c r="J10" s="263"/>
      <c r="K10" s="27"/>
      <c r="L10" s="27"/>
    </row>
    <row r="11" spans="1:16" ht="15" customHeight="1" x14ac:dyDescent="0.2">
      <c r="D11" s="49" t="s">
        <v>1703</v>
      </c>
      <c r="E11" s="27"/>
      <c r="F11" s="27"/>
      <c r="G11" s="237">
        <v>5</v>
      </c>
      <c r="H11" s="356" t="s">
        <v>1953</v>
      </c>
      <c r="I11" s="275"/>
      <c r="J11" s="275"/>
      <c r="K11" s="280"/>
      <c r="L11" s="27"/>
    </row>
    <row r="12" spans="1:16" ht="15" customHeight="1" x14ac:dyDescent="0.2">
      <c r="D12" s="27"/>
      <c r="E12" s="27"/>
      <c r="F12" s="27"/>
      <c r="G12" s="237">
        <v>150</v>
      </c>
      <c r="H12" s="356" t="s">
        <v>1933</v>
      </c>
      <c r="I12" s="275"/>
      <c r="J12" s="275"/>
      <c r="K12" s="280"/>
      <c r="L12" s="27"/>
    </row>
    <row r="13" spans="1:16" s="27" customFormat="1" ht="15" customHeight="1" x14ac:dyDescent="0.2">
      <c r="G13" s="237">
        <v>20</v>
      </c>
      <c r="H13" s="356" t="s">
        <v>1929</v>
      </c>
      <c r="I13" s="266"/>
      <c r="J13" s="266"/>
      <c r="K13" s="266"/>
      <c r="L13" s="266"/>
    </row>
    <row r="14" spans="1:16" s="27" customFormat="1" ht="15" customHeight="1" x14ac:dyDescent="0.2">
      <c r="G14" s="5">
        <v>7</v>
      </c>
      <c r="H14" s="356" t="s">
        <v>1934</v>
      </c>
      <c r="I14" s="266"/>
      <c r="J14" s="266"/>
      <c r="K14" s="266"/>
      <c r="L14" s="266"/>
    </row>
    <row r="15" spans="1:16" s="27" customFormat="1" ht="15" customHeight="1" x14ac:dyDescent="0.2">
      <c r="G15" s="271"/>
      <c r="H15" s="26"/>
      <c r="I15" s="266"/>
      <c r="J15" s="266"/>
      <c r="K15" s="266"/>
      <c r="L15" s="266"/>
    </row>
    <row r="16" spans="1:16" s="27" customFormat="1" ht="15" customHeight="1" x14ac:dyDescent="0.2">
      <c r="D16" s="273" t="s">
        <v>565</v>
      </c>
      <c r="G16" s="237">
        <v>90</v>
      </c>
      <c r="H16" s="88" t="s">
        <v>341</v>
      </c>
      <c r="I16" s="266"/>
      <c r="J16" s="266"/>
      <c r="K16" s="266"/>
      <c r="L16" s="266"/>
    </row>
    <row r="17" spans="4:25" s="27" customFormat="1" ht="15" customHeight="1" x14ac:dyDescent="0.2">
      <c r="D17" s="266"/>
      <c r="E17" s="266"/>
      <c r="F17" s="266"/>
      <c r="G17" s="266"/>
      <c r="I17" s="266"/>
      <c r="J17" s="266"/>
      <c r="K17" s="266"/>
      <c r="L17" s="266"/>
      <c r="M17" s="263"/>
    </row>
    <row r="18" spans="4:25" s="27" customFormat="1" ht="15" customHeight="1" x14ac:dyDescent="0.2">
      <c r="H18" s="169"/>
      <c r="I18" s="266"/>
      <c r="J18" s="266"/>
    </row>
    <row r="19" spans="4:25" s="27" customFormat="1" ht="15" customHeight="1" x14ac:dyDescent="0.2">
      <c r="D19" s="277" t="s">
        <v>25</v>
      </c>
      <c r="H19" s="356"/>
      <c r="I19" s="266"/>
      <c r="J19" s="266"/>
    </row>
    <row r="20" spans="4:25" ht="15" customHeight="1" x14ac:dyDescent="0.2">
      <c r="D20" s="273" t="s">
        <v>1708</v>
      </c>
      <c r="G20" s="220">
        <f>IF((G14*(60-G13)/G16)&gt;0,G14*(60-G13)/G16,0)</f>
        <v>3.1111111111111112</v>
      </c>
      <c r="H20" s="356" t="s">
        <v>2238</v>
      </c>
      <c r="U20" s="26"/>
      <c r="V20" s="26"/>
      <c r="W20" s="26"/>
      <c r="X20" s="26"/>
      <c r="Y20" s="26"/>
    </row>
    <row r="21" spans="4:25" ht="15" customHeight="1" x14ac:dyDescent="0.2">
      <c r="D21" s="27"/>
      <c r="E21" s="27"/>
      <c r="F21" s="27"/>
      <c r="G21" s="27"/>
      <c r="H21" s="356"/>
      <c r="U21" s="26"/>
      <c r="V21" s="26"/>
      <c r="W21" s="26"/>
      <c r="X21" s="26"/>
      <c r="Y21" s="26"/>
    </row>
    <row r="22" spans="4:25" s="281" customFormat="1" ht="15" customHeight="1" x14ac:dyDescent="0.2">
      <c r="D22" s="221" t="s">
        <v>2062</v>
      </c>
      <c r="E22" s="283"/>
      <c r="F22" s="283"/>
      <c r="G22" s="283"/>
      <c r="H22" s="356"/>
      <c r="U22" s="273"/>
      <c r="V22" s="273"/>
      <c r="W22" s="273"/>
      <c r="X22" s="273"/>
      <c r="Y22" s="273"/>
    </row>
    <row r="23" spans="4:25" s="281" customFormat="1" ht="15" customHeight="1" x14ac:dyDescent="0.2">
      <c r="D23" s="275"/>
      <c r="E23" s="283"/>
      <c r="F23" s="317" t="s">
        <v>2244</v>
      </c>
      <c r="G23" s="224">
        <f>W23*5</f>
        <v>1250</v>
      </c>
      <c r="H23" s="273" t="s">
        <v>2235</v>
      </c>
      <c r="U23" s="273"/>
      <c r="W23" s="325" t="str">
        <f>IF(G11&lt;10,"250",IF(AND(G11&gt;=10,G11&lt;20),"200",IF(AND(G11&gt;=20,G11&lt;50),"120",0)))</f>
        <v>250</v>
      </c>
      <c r="X23" s="26" t="s">
        <v>1138</v>
      </c>
      <c r="Y23" s="171"/>
    </row>
    <row r="24" spans="4:25" ht="15" customHeight="1" x14ac:dyDescent="0.2">
      <c r="F24" s="317" t="s">
        <v>1139</v>
      </c>
      <c r="G24" s="276">
        <f>(W24*5)/3</f>
        <v>666.66666666666663</v>
      </c>
      <c r="H24" s="273" t="str">
        <f>"g/planta de "&amp;Y24&amp;"."</f>
        <v>g/planta de 20-00-15.</v>
      </c>
      <c r="I24" s="283"/>
      <c r="J24" s="283"/>
      <c r="U24" s="26"/>
      <c r="W24" s="171">
        <v>400</v>
      </c>
      <c r="X24" s="26" t="s">
        <v>385</v>
      </c>
      <c r="Y24" s="273" t="str">
        <f>IF(G12&lt;60,"20-00-30",IF(AND(G12&gt;=60,G12&lt;120),"20-00-20",IF(AND(G12&gt;=120,G12&lt;200),"20-00-15",IF(AND(G12&gt;=200,G12&lt;280),"20-00-10","Sultato de Amônio"))))</f>
        <v>20-00-15</v>
      </c>
    </row>
    <row r="25" spans="4:25" ht="15" customHeight="1" x14ac:dyDescent="0.2">
      <c r="D25" s="281"/>
      <c r="G25" s="281"/>
      <c r="H25" s="356"/>
      <c r="I25" s="272"/>
      <c r="J25" s="272"/>
      <c r="U25" s="26"/>
      <c r="V25" s="26"/>
      <c r="W25" s="26"/>
      <c r="X25" s="26"/>
      <c r="Y25" s="26"/>
    </row>
    <row r="26" spans="4:25" ht="15" customHeight="1" x14ac:dyDescent="0.2"/>
    <row r="27" spans="4:25" ht="15" customHeight="1" x14ac:dyDescent="0.2"/>
    <row r="28" spans="4:25" ht="15" customHeight="1" x14ac:dyDescent="0.2"/>
    <row r="29" spans="4:25" s="281" customFormat="1" ht="15" customHeight="1" x14ac:dyDescent="0.2"/>
    <row r="30" spans="4:25" s="281" customFormat="1" ht="15" customHeight="1" x14ac:dyDescent="0.2"/>
    <row r="31" spans="4:25" ht="15" customHeight="1" x14ac:dyDescent="0.2"/>
    <row r="32" spans="4:25" ht="15" customHeight="1" x14ac:dyDescent="0.2"/>
    <row r="33" spans="4:7" ht="15" customHeight="1" x14ac:dyDescent="0.2">
      <c r="D33" s="226" t="s">
        <v>891</v>
      </c>
      <c r="E33" s="717">
        <f ca="1">TODAY()</f>
        <v>45064</v>
      </c>
      <c r="F33" s="714"/>
      <c r="G33" s="60" t="s">
        <v>373</v>
      </c>
    </row>
    <row r="34" spans="4:7" s="281" customFormat="1" ht="15" customHeight="1" x14ac:dyDescent="0.2"/>
    <row r="35" spans="4:7" s="281" customFormat="1" ht="15" hidden="1" customHeight="1" x14ac:dyDescent="0.2"/>
    <row r="36" spans="4:7" s="60" customFormat="1" ht="15" hidden="1" customHeight="1" x14ac:dyDescent="0.2"/>
    <row r="37" spans="4:7" s="60" customFormat="1" ht="15" hidden="1" customHeight="1" x14ac:dyDescent="0.2"/>
    <row r="38" spans="4:7" s="60" customFormat="1" ht="15" hidden="1" customHeight="1" x14ac:dyDescent="0.2"/>
    <row r="39" spans="4:7" s="60" customFormat="1" ht="15" hidden="1" customHeight="1" x14ac:dyDescent="0.2"/>
    <row r="40" spans="4:7" s="60" customFormat="1" ht="15" hidden="1" customHeight="1" x14ac:dyDescent="0.2"/>
    <row r="41" spans="4:7" s="60" customFormat="1" ht="15" hidden="1" customHeight="1" x14ac:dyDescent="0.2"/>
    <row r="42" spans="4:7" s="60" customFormat="1" ht="15" hidden="1" customHeight="1" x14ac:dyDescent="0.2"/>
    <row r="43" spans="4:7" s="60" customFormat="1" ht="15" hidden="1" customHeight="1" x14ac:dyDescent="0.2"/>
    <row r="44" spans="4:7" s="60" customFormat="1" ht="15" hidden="1" customHeight="1" x14ac:dyDescent="0.2"/>
    <row r="45" spans="4:7" s="60" customFormat="1" ht="15" hidden="1" customHeight="1" x14ac:dyDescent="0.2"/>
    <row r="46" spans="4:7" s="60" customFormat="1" ht="15" hidden="1" customHeight="1" x14ac:dyDescent="0.2"/>
    <row r="47" spans="4:7" s="60" customFormat="1" ht="15" hidden="1" customHeight="1" x14ac:dyDescent="0.2"/>
    <row r="48" spans="4:7" s="60" customFormat="1" ht="15" hidden="1" customHeight="1" x14ac:dyDescent="0.2"/>
    <row r="49" spans="2:3" s="60" customFormat="1" ht="15" hidden="1" customHeight="1" x14ac:dyDescent="0.2"/>
    <row r="50" spans="2:3" s="60" customFormat="1" ht="15" hidden="1" customHeight="1" x14ac:dyDescent="0.2"/>
    <row r="51" spans="2:3" s="60" customFormat="1" ht="15" hidden="1" customHeight="1" x14ac:dyDescent="0.2"/>
    <row r="52" spans="2:3" s="60" customFormat="1" ht="15" hidden="1" customHeight="1" x14ac:dyDescent="0.2"/>
    <row r="53" spans="2:3" s="60" customFormat="1" ht="15" hidden="1" customHeight="1" x14ac:dyDescent="0.2"/>
    <row r="54" spans="2:3" s="60" customFormat="1" ht="15" hidden="1" customHeight="1" x14ac:dyDescent="0.2"/>
    <row r="55" spans="2:3" s="60" customFormat="1" ht="15" hidden="1" customHeight="1" x14ac:dyDescent="0.2"/>
    <row r="56" spans="2:3" s="60" customFormat="1" ht="15" hidden="1" customHeight="1" x14ac:dyDescent="0.2"/>
    <row r="57" spans="2:3" s="60" customFormat="1" ht="15" hidden="1" customHeight="1" x14ac:dyDescent="0.2"/>
    <row r="58" spans="2:3" s="60" customFormat="1" ht="15" hidden="1" customHeight="1" x14ac:dyDescent="0.2"/>
    <row r="59" spans="2:3" s="60" customFormat="1" ht="15" hidden="1" customHeight="1" x14ac:dyDescent="0.2"/>
    <row r="60" spans="2:3" s="60" customFormat="1" ht="15" hidden="1" customHeight="1" x14ac:dyDescent="0.2">
      <c r="B60" s="267"/>
      <c r="C60" s="267"/>
    </row>
    <row r="61" spans="2:3" s="60" customFormat="1" ht="15" hidden="1" customHeight="1" x14ac:dyDescent="0.2">
      <c r="B61" s="267"/>
      <c r="C61" s="267"/>
    </row>
    <row r="62" spans="2:3" s="60" customFormat="1" ht="15" hidden="1" customHeight="1" x14ac:dyDescent="0.2">
      <c r="B62" s="267"/>
      <c r="C62" s="267"/>
    </row>
    <row r="63" spans="2:3" s="60" customFormat="1" ht="15" hidden="1" customHeight="1" x14ac:dyDescent="0.2">
      <c r="B63" s="267"/>
      <c r="C63" s="267"/>
    </row>
    <row r="64" spans="2:3" s="60" customFormat="1" ht="15" hidden="1" customHeight="1" x14ac:dyDescent="0.2">
      <c r="B64" s="267"/>
      <c r="C64" s="267"/>
    </row>
    <row r="65" spans="2:3" s="60" customFormat="1" ht="15" hidden="1" customHeight="1" x14ac:dyDescent="0.2">
      <c r="B65" s="267"/>
      <c r="C65" s="267"/>
    </row>
    <row r="66" spans="2:3" s="60" customFormat="1" ht="15" hidden="1" customHeight="1" x14ac:dyDescent="0.2">
      <c r="B66" s="267"/>
      <c r="C66" s="267"/>
    </row>
    <row r="67" spans="2:3" s="60" customFormat="1" ht="15" hidden="1" customHeight="1" x14ac:dyDescent="0.2">
      <c r="B67" s="267"/>
      <c r="C67" s="267"/>
    </row>
    <row r="68" spans="2:3" s="60" customFormat="1" ht="15" hidden="1" customHeight="1" x14ac:dyDescent="0.2">
      <c r="B68" s="267"/>
      <c r="C68" s="267"/>
    </row>
    <row r="69" spans="2:3" s="60" customFormat="1" ht="15" hidden="1" customHeight="1" x14ac:dyDescent="0.2">
      <c r="B69" s="267"/>
      <c r="C69" s="267"/>
    </row>
    <row r="70" spans="2:3" s="60" customFormat="1" ht="15" hidden="1" customHeight="1" x14ac:dyDescent="0.2">
      <c r="B70" s="267"/>
      <c r="C70" s="267"/>
    </row>
    <row r="71" spans="2:3" s="60" customFormat="1" ht="15" hidden="1" customHeight="1" x14ac:dyDescent="0.2">
      <c r="B71" s="267"/>
      <c r="C71" s="267"/>
    </row>
    <row r="72" spans="2:3" s="60" customFormat="1" ht="15" hidden="1" customHeight="1" x14ac:dyDescent="0.2">
      <c r="B72" s="267"/>
      <c r="C72" s="267"/>
    </row>
    <row r="73" spans="2:3" s="60" customFormat="1" ht="15" hidden="1" customHeight="1" x14ac:dyDescent="0.2">
      <c r="B73" s="267"/>
      <c r="C73" s="267"/>
    </row>
    <row r="74" spans="2:3" s="60" customFormat="1" ht="15" hidden="1" customHeight="1" x14ac:dyDescent="0.2">
      <c r="B74" s="267"/>
      <c r="C74" s="267"/>
    </row>
    <row r="75" spans="2:3" s="60" customFormat="1" ht="15" hidden="1" customHeight="1" x14ac:dyDescent="0.2">
      <c r="B75" s="267"/>
      <c r="C75" s="267"/>
    </row>
    <row r="76" spans="2:3" s="60" customFormat="1" ht="15" hidden="1" customHeight="1" x14ac:dyDescent="0.2">
      <c r="B76" s="267"/>
      <c r="C76" s="267"/>
    </row>
    <row r="77" spans="2:3" s="60" customFormat="1" ht="15" hidden="1" customHeight="1" x14ac:dyDescent="0.2">
      <c r="B77" s="267"/>
      <c r="C77" s="267"/>
    </row>
    <row r="78" spans="2:3" s="60" customFormat="1" ht="15" hidden="1" customHeight="1" x14ac:dyDescent="0.2">
      <c r="B78" s="267"/>
      <c r="C78" s="267"/>
    </row>
    <row r="79" spans="2:3" s="60" customFormat="1" ht="15" hidden="1" customHeight="1" x14ac:dyDescent="0.2">
      <c r="B79" s="267"/>
      <c r="C79" s="267"/>
    </row>
    <row r="80" spans="2:3" s="60" customFormat="1" ht="15" hidden="1" customHeight="1" x14ac:dyDescent="0.2">
      <c r="B80" s="267"/>
      <c r="C80" s="267"/>
    </row>
    <row r="81" spans="2:3" s="60" customFormat="1" ht="15" hidden="1" customHeight="1" x14ac:dyDescent="0.2">
      <c r="B81" s="267"/>
      <c r="C81" s="267"/>
    </row>
    <row r="82" spans="2:3" s="60" customFormat="1" ht="15" hidden="1" customHeight="1" x14ac:dyDescent="0.2">
      <c r="B82" s="267"/>
      <c r="C82" s="267"/>
    </row>
    <row r="83" spans="2:3" ht="15" hidden="1" customHeight="1" x14ac:dyDescent="0.2"/>
    <row r="84" spans="2:3" ht="15" hidden="1" customHeight="1" x14ac:dyDescent="0.2"/>
    <row r="85" spans="2:3" ht="15" hidden="1" customHeight="1" x14ac:dyDescent="0.2"/>
    <row r="86" spans="2:3" ht="15" hidden="1" customHeight="1" x14ac:dyDescent="0.2"/>
    <row r="87" spans="2:3" ht="15" hidden="1" customHeight="1" x14ac:dyDescent="0.2"/>
  </sheetData>
  <sheetProtection algorithmName="SHA-512" hashValue="pUYsmculB11/aGRC/Uk4+UupmLA1M7298leFKm1KhqJuI/ZOCnaDy0X/a3q1Mx35W5f2d3he6Xg/UyCg1MGftw==" saltValue="/SswNvBgemgzzJvwa1OThg==" spinCount="100000" sheet="1" objects="1" scenarios="1" selectLockedCells="1"/>
  <mergeCells count="3">
    <mergeCell ref="E33:F33"/>
    <mergeCell ref="C6:N6"/>
    <mergeCell ref="E8:M8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4">
    <pageSetUpPr fitToPage="1"/>
  </sheetPr>
  <dimension ref="A1:W59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2168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1208</v>
      </c>
      <c r="G11" s="237">
        <v>1</v>
      </c>
      <c r="H11" s="298" t="s">
        <v>2070</v>
      </c>
      <c r="I11" s="5">
        <v>0.5</v>
      </c>
      <c r="J11" s="49" t="s">
        <v>2169</v>
      </c>
      <c r="K11" s="299">
        <f>10000/(G11*I11)</f>
        <v>20000</v>
      </c>
      <c r="L11" s="266" t="s">
        <v>353</v>
      </c>
      <c r="N11" s="27"/>
    </row>
    <row r="12" spans="1:16" ht="15" customHeight="1" x14ac:dyDescent="0.2">
      <c r="G12" s="265"/>
      <c r="H12" s="271"/>
      <c r="I12" s="271"/>
      <c r="N12" s="27"/>
    </row>
    <row r="13" spans="1:16" ht="15" customHeight="1" x14ac:dyDescent="0.2">
      <c r="D13" s="49" t="s">
        <v>1703</v>
      </c>
      <c r="G13" s="237">
        <v>25</v>
      </c>
      <c r="H13" s="356" t="s">
        <v>1953</v>
      </c>
      <c r="I13" s="271"/>
      <c r="N13" s="27"/>
    </row>
    <row r="14" spans="1:16" ht="15" customHeight="1" x14ac:dyDescent="0.2">
      <c r="G14" s="237">
        <v>150</v>
      </c>
      <c r="H14" s="356" t="s">
        <v>1933</v>
      </c>
      <c r="I14" s="271"/>
      <c r="N14" s="27"/>
    </row>
    <row r="15" spans="1:16" ht="15" customHeight="1" x14ac:dyDescent="0.2">
      <c r="G15" s="237">
        <v>9</v>
      </c>
      <c r="H15" s="356" t="s">
        <v>1934</v>
      </c>
      <c r="I15" s="271"/>
      <c r="N15" s="27"/>
    </row>
    <row r="16" spans="1:16" ht="15" customHeight="1" x14ac:dyDescent="0.2">
      <c r="G16" s="237">
        <v>40</v>
      </c>
      <c r="H16" s="356" t="s">
        <v>1929</v>
      </c>
      <c r="I16" s="271"/>
      <c r="N16" s="27"/>
    </row>
    <row r="17" spans="4:23" ht="15" customHeight="1" x14ac:dyDescent="0.2">
      <c r="G17" s="265"/>
      <c r="I17" s="271"/>
      <c r="N17" s="27"/>
    </row>
    <row r="18" spans="4:23" ht="15" customHeight="1" x14ac:dyDescent="0.2">
      <c r="D18" s="266" t="s">
        <v>340</v>
      </c>
      <c r="G18" s="237">
        <v>80</v>
      </c>
      <c r="H18" s="49" t="s">
        <v>341</v>
      </c>
      <c r="I18" s="271"/>
      <c r="N18" s="27"/>
    </row>
    <row r="19" spans="4:23" ht="15" customHeight="1" x14ac:dyDescent="0.2">
      <c r="F19" s="265"/>
      <c r="N19" s="27"/>
    </row>
    <row r="20" spans="4:23" ht="15" customHeight="1" x14ac:dyDescent="0.2">
      <c r="N20" s="27"/>
    </row>
    <row r="21" spans="4:23" ht="15" customHeight="1" x14ac:dyDescent="0.25">
      <c r="D21" s="291" t="s">
        <v>350</v>
      </c>
      <c r="E21" s="291"/>
      <c r="F21" s="291"/>
      <c r="G21" s="291"/>
      <c r="H21" s="291"/>
      <c r="I21" s="27"/>
      <c r="N21" s="27"/>
    </row>
    <row r="22" spans="4:23" ht="15" customHeight="1" x14ac:dyDescent="0.25">
      <c r="D22" s="257" t="s">
        <v>573</v>
      </c>
      <c r="E22" s="309"/>
      <c r="F22" s="309"/>
      <c r="G22" s="309"/>
      <c r="N22" s="27"/>
    </row>
    <row r="23" spans="4:23" s="213" customFormat="1" ht="15" customHeight="1" x14ac:dyDescent="0.2">
      <c r="D23" s="298" t="s">
        <v>1708</v>
      </c>
      <c r="E23" s="267"/>
      <c r="G23" s="286">
        <f>IF((G15*(70-G16)/G18)&gt;0,G15*(70-G16)/G18,0)</f>
        <v>3.375</v>
      </c>
      <c r="H23" s="300" t="s">
        <v>349</v>
      </c>
      <c r="L23" s="304"/>
      <c r="M23" s="304"/>
      <c r="N23" s="304"/>
    </row>
    <row r="24" spans="4:23" ht="15" customHeight="1" x14ac:dyDescent="0.2">
      <c r="F24" s="222"/>
      <c r="L24" s="27"/>
      <c r="M24" s="27"/>
      <c r="N24" s="27"/>
    </row>
    <row r="25" spans="4:23" ht="15" customHeight="1" x14ac:dyDescent="0.2">
      <c r="D25" s="169" t="s">
        <v>1696</v>
      </c>
      <c r="G25" s="224">
        <v>10</v>
      </c>
      <c r="H25" s="305" t="str">
        <f>"g/cova de "&amp;W25&amp;" ou 2 litros esterco bovino."</f>
        <v>g/cova de 20-00-15 ou 2 litros esterco bovino.</v>
      </c>
      <c r="M25" s="220"/>
      <c r="N25" s="27"/>
      <c r="W25" s="292" t="str">
        <f>IF(G14&lt;80,"20-00-30",IF(AND(G15&gt;=80,G14&lt;150),"20-00-20",IF(AND(G14&gt;=150,G14&lt;200),"20-00-15",IF(AND(G14&gt;=200,G14&lt;280),"20-00-10","Sulf. Amônio"))))</f>
        <v>20-00-15</v>
      </c>
    </row>
    <row r="26" spans="4:23" ht="15" customHeight="1" x14ac:dyDescent="0.2">
      <c r="G26" s="224" t="str">
        <f>IF(G13&lt;20,"230",IF(AND(G13&gt;=20,G13&lt;60),"180",IF(AND(G13&gt;=60,G13&lt;100),"130",IF(AND(G13&gt;=100,G13&lt;150),"80",0))))</f>
        <v>180</v>
      </c>
      <c r="H26" s="49" t="s">
        <v>560</v>
      </c>
      <c r="I26" s="303"/>
      <c r="J26" s="218"/>
      <c r="K26" s="271"/>
      <c r="L26" s="271"/>
      <c r="M26" s="263"/>
      <c r="N26" s="27"/>
    </row>
    <row r="27" spans="4:23" ht="15" customHeight="1" x14ac:dyDescent="0.2">
      <c r="G27" s="224">
        <v>5</v>
      </c>
      <c r="H27" s="49" t="s">
        <v>354</v>
      </c>
      <c r="I27" s="208"/>
      <c r="J27" s="218"/>
      <c r="K27" s="306"/>
      <c r="L27" s="27"/>
      <c r="M27" s="263"/>
      <c r="N27" s="27"/>
    </row>
    <row r="28" spans="4:23" ht="15" customHeight="1" x14ac:dyDescent="0.2">
      <c r="F28" s="319"/>
      <c r="N28" s="263"/>
    </row>
    <row r="29" spans="4:23" ht="15" customHeight="1" x14ac:dyDescent="0.2">
      <c r="D29" s="169" t="s">
        <v>342</v>
      </c>
      <c r="F29" s="218"/>
      <c r="G29" s="224">
        <v>10</v>
      </c>
      <c r="H29" s="170" t="str">
        <f>"g/planta de "&amp;W25&amp;" a cada 15 dias."</f>
        <v>g/planta de 20-00-15 a cada 15 dias.</v>
      </c>
      <c r="I29" s="222"/>
      <c r="J29" s="308"/>
      <c r="N29" s="263"/>
    </row>
    <row r="30" spans="4:23" ht="15" customHeight="1" x14ac:dyDescent="0.2"/>
    <row r="31" spans="4:23" ht="15" customHeight="1" x14ac:dyDescent="0.2">
      <c r="F31" s="308"/>
      <c r="H31" s="281"/>
      <c r="I31" s="308"/>
      <c r="N31" s="27"/>
    </row>
    <row r="32" spans="4:23" ht="15" customHeight="1" x14ac:dyDescent="0.2"/>
    <row r="33" spans="3:16" ht="15" customHeight="1" x14ac:dyDescent="0.2">
      <c r="D33" s="169"/>
    </row>
    <row r="34" spans="3:16" ht="15" customHeight="1" x14ac:dyDescent="0.2"/>
    <row r="35" spans="3:16" ht="15" customHeight="1" x14ac:dyDescent="0.2"/>
    <row r="36" spans="3:16" ht="15" customHeight="1" x14ac:dyDescent="0.2">
      <c r="D36" s="226" t="s">
        <v>891</v>
      </c>
      <c r="E36" s="714"/>
      <c r="F36" s="714"/>
      <c r="G36" s="60" t="s">
        <v>373</v>
      </c>
      <c r="H36" s="60"/>
      <c r="I36" s="60"/>
      <c r="J36" s="60"/>
      <c r="K36" s="60"/>
      <c r="L36" s="60"/>
    </row>
    <row r="37" spans="3:16" s="60" customFormat="1" ht="15" customHeight="1" x14ac:dyDescent="0.2"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</row>
    <row r="38" spans="3:16" s="60" customFormat="1" ht="15" hidden="1" customHeight="1" x14ac:dyDescent="0.2"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</row>
    <row r="39" spans="3:16" s="60" customFormat="1" ht="15" hidden="1" customHeight="1" x14ac:dyDescent="0.2"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</row>
    <row r="40" spans="3:16" s="60" customFormat="1" ht="15" hidden="1" customHeight="1" x14ac:dyDescent="0.2">
      <c r="D40" s="267"/>
    </row>
    <row r="41" spans="3:16" s="60" customFormat="1" ht="15" hidden="1" customHeight="1" x14ac:dyDescent="0.2"/>
    <row r="42" spans="3:16" s="60" customFormat="1" ht="15" hidden="1" customHeight="1" x14ac:dyDescent="0.2">
      <c r="D42" s="267"/>
    </row>
    <row r="43" spans="3:16" s="60" customFormat="1" ht="15" hidden="1" customHeight="1" x14ac:dyDescent="0.2">
      <c r="D43" s="267"/>
      <c r="H43" s="859"/>
      <c r="I43" s="859"/>
      <c r="J43" s="859"/>
      <c r="K43" s="859"/>
    </row>
    <row r="44" spans="3:16" s="60" customFormat="1" ht="15" hidden="1" customHeight="1" x14ac:dyDescent="0.2">
      <c r="D44" s="267"/>
    </row>
    <row r="45" spans="3:16" s="60" customFormat="1" ht="15" hidden="1" customHeight="1" x14ac:dyDescent="0.2">
      <c r="D45" s="267"/>
    </row>
    <row r="46" spans="3:16" s="60" customFormat="1" ht="15" hidden="1" customHeight="1" x14ac:dyDescent="0.2">
      <c r="D46" s="267"/>
    </row>
    <row r="47" spans="3:16" s="60" customFormat="1" ht="15" hidden="1" customHeight="1" x14ac:dyDescent="0.2">
      <c r="D47" s="267"/>
    </row>
    <row r="48" spans="3:16" s="60" customFormat="1" ht="15" hidden="1" customHeight="1" x14ac:dyDescent="0.2">
      <c r="D48" s="267"/>
      <c r="I48" s="33"/>
    </row>
    <row r="49" spans="2:6" ht="15" hidden="1" customHeight="1" x14ac:dyDescent="0.2"/>
    <row r="50" spans="2:6" ht="15" hidden="1" customHeight="1" x14ac:dyDescent="0.2">
      <c r="B50" s="320"/>
      <c r="D50" s="267"/>
      <c r="E50" s="60"/>
      <c r="F50" s="60"/>
    </row>
    <row r="51" spans="2:6" ht="15" hidden="1" customHeight="1" x14ac:dyDescent="0.2">
      <c r="C51" s="267"/>
      <c r="D51" s="267"/>
      <c r="E51" s="60"/>
      <c r="F51" s="60"/>
    </row>
    <row r="52" spans="2:6" ht="15" hidden="1" customHeight="1" x14ac:dyDescent="0.2">
      <c r="C52" s="267"/>
      <c r="D52" s="267"/>
      <c r="E52" s="60"/>
      <c r="F52" s="60"/>
    </row>
    <row r="53" spans="2:6" ht="15" hidden="1" customHeight="1" x14ac:dyDescent="0.2">
      <c r="C53" s="267"/>
      <c r="D53" s="267"/>
      <c r="E53" s="60"/>
      <c r="F53" s="60"/>
    </row>
    <row r="54" spans="2:6" ht="15" hidden="1" customHeight="1" x14ac:dyDescent="0.2">
      <c r="C54" s="267"/>
      <c r="D54" s="267"/>
      <c r="E54" s="60"/>
      <c r="F54" s="60"/>
    </row>
    <row r="55" spans="2:6" ht="15" hidden="1" customHeight="1" x14ac:dyDescent="0.2">
      <c r="C55" s="267"/>
      <c r="D55" s="267"/>
      <c r="E55" s="60"/>
      <c r="F55" s="60"/>
    </row>
    <row r="56" spans="2:6" ht="15" hidden="1" customHeight="1" x14ac:dyDescent="0.2">
      <c r="C56" s="267"/>
      <c r="D56" s="267"/>
      <c r="E56" s="60"/>
      <c r="F56" s="60"/>
    </row>
    <row r="57" spans="2:6" ht="15" hidden="1" customHeight="1" x14ac:dyDescent="0.2">
      <c r="C57" s="267"/>
      <c r="D57" s="267"/>
      <c r="E57" s="60"/>
      <c r="F57" s="60"/>
    </row>
    <row r="58" spans="2:6" ht="15" hidden="1" customHeight="1" x14ac:dyDescent="0.2">
      <c r="C58" s="267"/>
      <c r="D58" s="267"/>
      <c r="E58" s="60"/>
      <c r="F58" s="60"/>
    </row>
    <row r="59" spans="2:6" ht="15" hidden="1" customHeight="1" x14ac:dyDescent="0.2">
      <c r="C59" s="267"/>
      <c r="D59" s="267"/>
      <c r="E59" s="60"/>
      <c r="F59" s="60"/>
    </row>
  </sheetData>
  <sheetProtection algorithmName="SHA-512" hashValue="rySB87CR+HA2vQgrk8f0/gZdhOrUtZQn/5uTggvd2PuQbq7uom2GsfUU21v9yjlssum+20H26xDlkB2FP7M/mA==" saltValue="7JqYgwWkCDlM9/j2N7huJA==" spinCount="100000" sheet="1" objects="1" scenarios="1" selectLockedCells="1"/>
  <mergeCells count="4">
    <mergeCell ref="C6:N6"/>
    <mergeCell ref="H43:K43"/>
    <mergeCell ref="E8:M8"/>
    <mergeCell ref="E36:F36"/>
  </mergeCells>
  <phoneticPr fontId="49" type="noConversion"/>
  <printOptions horizontalCentered="1"/>
  <pageMargins left="0.78740157480314998" right="0.78740157480314998" top="0.78740157480314998" bottom="0.78740157480314998" header="0.511811023622047" footer="0.511811023622047"/>
  <pageSetup paperSize="9" scale="94" orientation="portrait" cellComments="atEnd" horizontalDpi="4294967295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1">
    <pageSetUpPr fitToPage="1"/>
  </sheetPr>
  <dimension ref="A1:W63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23" width="0" style="266" hidden="1" customWidth="1"/>
    <col min="24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2170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266" t="s">
        <v>1208</v>
      </c>
      <c r="G11" s="237">
        <v>0.8</v>
      </c>
      <c r="H11" s="298" t="s">
        <v>2070</v>
      </c>
      <c r="I11" s="5">
        <v>0.5</v>
      </c>
      <c r="J11" s="49" t="s">
        <v>2169</v>
      </c>
      <c r="K11" s="299">
        <f>10000/(G11*I11)</f>
        <v>25000</v>
      </c>
      <c r="L11" s="266" t="s">
        <v>353</v>
      </c>
      <c r="N11" s="27"/>
    </row>
    <row r="12" spans="1:16" ht="15" customHeight="1" x14ac:dyDescent="0.2">
      <c r="G12" s="265"/>
      <c r="H12" s="271"/>
      <c r="I12" s="271"/>
      <c r="N12" s="27"/>
    </row>
    <row r="13" spans="1:16" ht="15" customHeight="1" x14ac:dyDescent="0.2">
      <c r="D13" s="49" t="s">
        <v>1703</v>
      </c>
      <c r="G13" s="237">
        <v>25</v>
      </c>
      <c r="H13" s="356" t="s">
        <v>1953</v>
      </c>
      <c r="I13" s="271"/>
      <c r="N13" s="27"/>
    </row>
    <row r="14" spans="1:16" ht="15" customHeight="1" x14ac:dyDescent="0.2">
      <c r="G14" s="237">
        <v>150</v>
      </c>
      <c r="H14" s="356" t="s">
        <v>1933</v>
      </c>
      <c r="I14" s="271"/>
      <c r="N14" s="27"/>
    </row>
    <row r="15" spans="1:16" ht="15" customHeight="1" x14ac:dyDescent="0.2">
      <c r="G15" s="237">
        <v>9</v>
      </c>
      <c r="H15" s="356" t="s">
        <v>1934</v>
      </c>
      <c r="I15" s="271"/>
      <c r="N15" s="27"/>
    </row>
    <row r="16" spans="1:16" ht="15" customHeight="1" x14ac:dyDescent="0.2">
      <c r="G16" s="237">
        <v>40</v>
      </c>
      <c r="H16" s="356" t="s">
        <v>1929</v>
      </c>
      <c r="I16" s="271"/>
      <c r="N16" s="27"/>
    </row>
    <row r="17" spans="3:23" ht="15" customHeight="1" x14ac:dyDescent="0.2">
      <c r="G17" s="265"/>
      <c r="I17" s="271"/>
      <c r="N17" s="27"/>
    </row>
    <row r="18" spans="3:23" ht="15" customHeight="1" x14ac:dyDescent="0.2">
      <c r="D18" s="266" t="s">
        <v>340</v>
      </c>
      <c r="G18" s="237">
        <v>80</v>
      </c>
      <c r="H18" s="49" t="s">
        <v>341</v>
      </c>
      <c r="I18" s="271"/>
      <c r="N18" s="27"/>
    </row>
    <row r="19" spans="3:23" ht="15" customHeight="1" x14ac:dyDescent="0.2">
      <c r="F19" s="265"/>
      <c r="N19" s="27"/>
    </row>
    <row r="20" spans="3:23" ht="15" customHeight="1" x14ac:dyDescent="0.2">
      <c r="N20" s="27"/>
    </row>
    <row r="21" spans="3:23" ht="15" customHeight="1" x14ac:dyDescent="0.25">
      <c r="D21" s="291" t="s">
        <v>350</v>
      </c>
      <c r="E21" s="291"/>
      <c r="F21" s="291"/>
      <c r="G21" s="291"/>
      <c r="H21" s="291"/>
      <c r="I21" s="27"/>
      <c r="N21" s="27"/>
    </row>
    <row r="22" spans="3:23" ht="15" customHeight="1" x14ac:dyDescent="0.25">
      <c r="D22" s="257" t="s">
        <v>573</v>
      </c>
      <c r="E22" s="309"/>
      <c r="F22" s="309"/>
      <c r="G22" s="309"/>
      <c r="N22" s="27"/>
    </row>
    <row r="23" spans="3:23" ht="15" customHeight="1" x14ac:dyDescent="0.2">
      <c r="C23" s="213"/>
      <c r="D23" s="298" t="s">
        <v>1708</v>
      </c>
      <c r="E23" s="267"/>
      <c r="F23" s="213"/>
      <c r="G23" s="286">
        <f>IF((G15*(70-G16)/G18)&gt;0,G15*(70-G16)/G18,0)</f>
        <v>3.375</v>
      </c>
      <c r="H23" s="300" t="s">
        <v>349</v>
      </c>
      <c r="I23" s="213"/>
      <c r="J23" s="213"/>
      <c r="K23" s="213"/>
      <c r="L23" s="304"/>
      <c r="M23" s="304"/>
      <c r="N23" s="304"/>
    </row>
    <row r="24" spans="3:23" s="213" customFormat="1" ht="15" customHeight="1" x14ac:dyDescent="0.2">
      <c r="C24" s="266"/>
      <c r="D24" s="266"/>
      <c r="E24" s="266"/>
      <c r="F24" s="222"/>
      <c r="G24" s="266"/>
      <c r="H24" s="266"/>
      <c r="I24" s="266"/>
      <c r="J24" s="266"/>
      <c r="K24" s="266"/>
      <c r="L24" s="27"/>
      <c r="M24" s="27"/>
      <c r="N24" s="27"/>
    </row>
    <row r="25" spans="3:23" ht="15" customHeight="1" x14ac:dyDescent="0.2">
      <c r="D25" s="169" t="s">
        <v>1696</v>
      </c>
      <c r="G25" s="224">
        <v>10</v>
      </c>
      <c r="H25" s="305" t="str">
        <f>"g/cova de "&amp;W25&amp;" ou 2 litros esterco bovino."</f>
        <v>g/cova de 20-00-15 ou 2 litros esterco bovino.</v>
      </c>
      <c r="M25" s="220"/>
      <c r="N25" s="27"/>
      <c r="W25" s="266" t="str">
        <f>IF(G14&lt;80,"20-00-30",IF(AND(G14&gt;=80,G14&lt;150),"20-00-20",IF(AND(G14&gt;=150,G14&lt;200),"20-00-15",IF(AND(G14&gt;=200,G14&lt;280),"20-00-10","Sulf. Amônio"))))</f>
        <v>20-00-15</v>
      </c>
    </row>
    <row r="26" spans="3:23" ht="15" customHeight="1" x14ac:dyDescent="0.2">
      <c r="G26" s="224" t="str">
        <f>IF(G13&lt;20,"230",IF(AND(G13&gt;=20,G13&lt;60),"180",IF(AND(G13&gt;=60,G13&lt;100),"130",IF(AND(G13&gt;=100,G13&lt;150),"80",0))))</f>
        <v>180</v>
      </c>
      <c r="H26" s="49" t="s">
        <v>560</v>
      </c>
      <c r="I26" s="303"/>
      <c r="J26" s="218"/>
      <c r="K26" s="271"/>
      <c r="L26" s="271"/>
      <c r="M26" s="263"/>
      <c r="N26" s="27"/>
    </row>
    <row r="27" spans="3:23" ht="15" customHeight="1" x14ac:dyDescent="0.2">
      <c r="G27" s="224">
        <v>5</v>
      </c>
      <c r="H27" s="49" t="s">
        <v>354</v>
      </c>
      <c r="I27" s="208"/>
      <c r="J27" s="218"/>
      <c r="K27" s="306"/>
      <c r="L27" s="27"/>
      <c r="M27" s="263"/>
      <c r="N27" s="27"/>
    </row>
    <row r="28" spans="3:23" ht="15" customHeight="1" x14ac:dyDescent="0.2">
      <c r="F28" s="319"/>
      <c r="N28" s="263"/>
    </row>
    <row r="29" spans="3:23" ht="15" customHeight="1" x14ac:dyDescent="0.2">
      <c r="D29" s="169" t="s">
        <v>342</v>
      </c>
      <c r="F29" s="218"/>
      <c r="G29" s="224">
        <v>10</v>
      </c>
      <c r="H29" s="170" t="str">
        <f>"g/planta de "&amp;W25&amp;" aos 15, 30 e 45 dias após o plantio."</f>
        <v>g/planta de 20-00-15 aos 15, 30 e 45 dias após o plantio.</v>
      </c>
      <c r="I29" s="222"/>
      <c r="J29" s="308"/>
      <c r="N29" s="263"/>
    </row>
    <row r="30" spans="3:23" ht="15" customHeight="1" x14ac:dyDescent="0.2"/>
    <row r="31" spans="3:23" ht="15" customHeight="1" x14ac:dyDescent="0.2">
      <c r="F31" s="308"/>
      <c r="H31" s="281"/>
      <c r="I31" s="308"/>
      <c r="N31" s="27"/>
    </row>
    <row r="32" spans="3:23" ht="15" customHeight="1" x14ac:dyDescent="0.2"/>
    <row r="33" spans="4:12" ht="15" customHeight="1" x14ac:dyDescent="0.2">
      <c r="D33" s="169"/>
    </row>
    <row r="34" spans="4:12" ht="15" customHeight="1" x14ac:dyDescent="0.2"/>
    <row r="35" spans="4:12" ht="15" customHeight="1" x14ac:dyDescent="0.2"/>
    <row r="36" spans="4:12" ht="15" customHeight="1" x14ac:dyDescent="0.2"/>
    <row r="37" spans="4:12" ht="15" customHeight="1" x14ac:dyDescent="0.2">
      <c r="D37" s="226" t="s">
        <v>891</v>
      </c>
      <c r="E37" s="717">
        <f ca="1">TODAY()</f>
        <v>45064</v>
      </c>
      <c r="F37" s="714"/>
      <c r="G37" s="60" t="s">
        <v>373</v>
      </c>
      <c r="H37" s="60"/>
      <c r="I37" s="60"/>
      <c r="J37" s="60"/>
      <c r="K37" s="60"/>
      <c r="L37" s="60"/>
    </row>
    <row r="38" spans="4:12" ht="15" customHeight="1" x14ac:dyDescent="0.2"/>
    <row r="39" spans="4:12" ht="15" hidden="1" customHeight="1" x14ac:dyDescent="0.2"/>
    <row r="40" spans="4:12" ht="15" hidden="1" customHeight="1" x14ac:dyDescent="0.2"/>
    <row r="41" spans="4:12" ht="15" hidden="1" customHeight="1" x14ac:dyDescent="0.2"/>
    <row r="42" spans="4:12" ht="15" hidden="1" customHeight="1" x14ac:dyDescent="0.2"/>
    <row r="43" spans="4:12" ht="15" hidden="1" customHeight="1" x14ac:dyDescent="0.2"/>
    <row r="44" spans="4:12" s="60" customFormat="1" ht="15" hidden="1" customHeight="1" x14ac:dyDescent="0.2"/>
    <row r="45" spans="4:12" s="60" customFormat="1" ht="15" hidden="1" customHeight="1" x14ac:dyDescent="0.2"/>
    <row r="46" spans="4:12" s="60" customFormat="1" ht="15" hidden="1" customHeight="1" x14ac:dyDescent="0.2"/>
    <row r="47" spans="4:12" s="60" customFormat="1" ht="15" hidden="1" customHeight="1" x14ac:dyDescent="0.2"/>
    <row r="48" spans="4:12" s="60" customFormat="1" ht="15" hidden="1" customHeight="1" x14ac:dyDescent="0.2"/>
    <row r="49" s="60" customFormat="1" ht="15" hidden="1" customHeight="1" x14ac:dyDescent="0.2"/>
    <row r="50" s="60" customFormat="1" ht="15" hidden="1" customHeight="1" x14ac:dyDescent="0.2"/>
    <row r="51" s="60" customFormat="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</sheetData>
  <sheetProtection algorithmName="SHA-512" hashValue="V/wi9DOwp+FnIgQbldiHdY6UM4pGpdS6y79miYxupsyn9duX41+GAo/iGd/ZH+ThOKAJEapCl7vPYs+0t2i64Q==" saltValue="/FpHHn5iaSkwg2MEgxft7Q==" spinCount="100000" sheet="1" objects="1" scenarios="1" selectLockedCells="1"/>
  <mergeCells count="3">
    <mergeCell ref="E8:M8"/>
    <mergeCell ref="E37:F37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2">
    <pageSetUpPr fitToPage="1"/>
  </sheetPr>
  <dimension ref="A1:AD68"/>
  <sheetViews>
    <sheetView showGridLines="0" showRowColHeaders="0" zoomScaleNormal="100" workbookViewId="0">
      <selection activeCell="E8" sqref="E8:M8"/>
    </sheetView>
  </sheetViews>
  <sheetFormatPr defaultColWidth="0" defaultRowHeight="15" customHeight="1" zeroHeight="1" x14ac:dyDescent="0.2"/>
  <cols>
    <col min="1" max="16" width="9.140625" style="266" customWidth="1"/>
    <col min="17" max="30" width="0" style="266" hidden="1" customWidth="1"/>
    <col min="31" max="16384" width="9.140625" style="266" hidden="1"/>
  </cols>
  <sheetData>
    <row r="1" spans="1:16" ht="24.9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4.9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4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4.9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24.95" customHeight="1" x14ac:dyDescent="0.2">
      <c r="C6" s="699" t="s">
        <v>2136</v>
      </c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</row>
    <row r="7" spans="1:16" ht="15" customHeight="1" x14ac:dyDescent="0.2"/>
    <row r="8" spans="1:16" ht="15" customHeight="1" x14ac:dyDescent="0.2">
      <c r="D8" s="227" t="s">
        <v>1313</v>
      </c>
      <c r="E8" s="693" t="s">
        <v>1850</v>
      </c>
      <c r="F8" s="696"/>
      <c r="G8" s="696"/>
      <c r="H8" s="696"/>
      <c r="I8" s="696"/>
      <c r="J8" s="696"/>
      <c r="K8" s="696"/>
      <c r="L8" s="696"/>
      <c r="M8" s="696"/>
    </row>
    <row r="9" spans="1:16" ht="15" customHeight="1" x14ac:dyDescent="0.2"/>
    <row r="10" spans="1:16" ht="15" customHeight="1" x14ac:dyDescent="0.2"/>
    <row r="11" spans="1:16" ht="15" customHeight="1" x14ac:dyDescent="0.2">
      <c r="D11" s="169" t="s">
        <v>2171</v>
      </c>
    </row>
    <row r="12" spans="1:16" ht="15" customHeight="1" x14ac:dyDescent="0.2">
      <c r="E12" s="49" t="s">
        <v>2172</v>
      </c>
    </row>
    <row r="13" spans="1:16" ht="15" customHeight="1" x14ac:dyDescent="0.2">
      <c r="E13" s="49" t="s">
        <v>2173</v>
      </c>
    </row>
    <row r="14" spans="1:16" ht="15" customHeight="1" x14ac:dyDescent="0.2">
      <c r="E14" s="49" t="s">
        <v>2148</v>
      </c>
    </row>
    <row r="15" spans="1:16" ht="15" customHeight="1" x14ac:dyDescent="0.2"/>
    <row r="16" spans="1:16" ht="15" customHeight="1" x14ac:dyDescent="0.2">
      <c r="D16" s="169" t="s">
        <v>2174</v>
      </c>
    </row>
    <row r="17" spans="2:30" ht="15" customHeight="1" x14ac:dyDescent="0.2">
      <c r="E17" s="49" t="s">
        <v>2175</v>
      </c>
    </row>
    <row r="18" spans="2:30" ht="15" customHeight="1" x14ac:dyDescent="0.2">
      <c r="E18" s="49" t="s">
        <v>2176</v>
      </c>
    </row>
    <row r="19" spans="2:30" ht="15" customHeight="1" x14ac:dyDescent="0.2">
      <c r="E19" s="49" t="s">
        <v>2177</v>
      </c>
    </row>
    <row r="20" spans="2:30" ht="15" customHeight="1" x14ac:dyDescent="0.2"/>
    <row r="21" spans="2:30" ht="15" customHeight="1" x14ac:dyDescent="0.2">
      <c r="D21" s="169" t="s">
        <v>2178</v>
      </c>
    </row>
    <row r="22" spans="2:30" ht="15" customHeight="1" x14ac:dyDescent="0.2">
      <c r="D22" s="266" t="s">
        <v>1703</v>
      </c>
      <c r="G22" s="5">
        <v>90</v>
      </c>
      <c r="H22" s="356" t="s">
        <v>1933</v>
      </c>
      <c r="N22" s="277"/>
    </row>
    <row r="23" spans="2:30" ht="15" customHeight="1" x14ac:dyDescent="0.2">
      <c r="D23" s="298" t="s">
        <v>371</v>
      </c>
      <c r="F23" s="49" t="str">
        <f>"2 (duas) aplicações de 60 g/cova de "&amp;W23&amp;" ."</f>
        <v>2 (duas) aplicações de 60 g/cova de 20-0-10 .</v>
      </c>
      <c r="W23" s="266" t="str">
        <f>IF(G22&lt;60,"20-0-20",IF(AND(G22&gt;=60,G22&lt;120),"20-0-10","Sultato de Amônio"))</f>
        <v>20-0-10</v>
      </c>
    </row>
    <row r="24" spans="2:30" ht="15" customHeight="1" x14ac:dyDescent="0.2"/>
    <row r="25" spans="2:30" ht="15" customHeight="1" x14ac:dyDescent="0.2">
      <c r="D25" s="169" t="s">
        <v>378</v>
      </c>
    </row>
    <row r="26" spans="2:30" ht="15" customHeight="1" x14ac:dyDescent="0.2">
      <c r="D26" s="266" t="s">
        <v>1703</v>
      </c>
      <c r="G26" s="5">
        <v>90</v>
      </c>
      <c r="H26" s="356" t="s">
        <v>1933</v>
      </c>
      <c r="N26" s="277"/>
    </row>
    <row r="27" spans="2:30" ht="15" customHeight="1" x14ac:dyDescent="0.2">
      <c r="D27" s="298" t="s">
        <v>371</v>
      </c>
      <c r="F27" s="49" t="str">
        <f>"2 (duas) aplicações de 80 g/cova de "&amp;W27&amp;" ."</f>
        <v>2 (duas) aplicações de 80 g/cova de 20-0-10 .</v>
      </c>
      <c r="W27" s="266" t="str">
        <f>IF(G26&lt;60,"20-0-20",IF(AND(G26&gt;=60,G26&lt;120),"20-0-10","Sultato de Amônio"))</f>
        <v>20-0-10</v>
      </c>
      <c r="AD27" s="277"/>
    </row>
    <row r="28" spans="2:30" ht="15" customHeight="1" x14ac:dyDescent="0.2"/>
    <row r="29" spans="2:30" s="281" customFormat="1" ht="15" customHeight="1" x14ac:dyDescent="0.2">
      <c r="D29" s="277" t="s">
        <v>2179</v>
      </c>
      <c r="E29" s="283"/>
      <c r="F29" s="220"/>
      <c r="G29" s="280"/>
      <c r="Q29" s="266"/>
      <c r="R29" s="266"/>
    </row>
    <row r="30" spans="2:30" s="281" customFormat="1" ht="15" customHeight="1" x14ac:dyDescent="0.2">
      <c r="D30" s="273" t="s">
        <v>2180</v>
      </c>
      <c r="F30" s="220"/>
      <c r="G30" s="280"/>
      <c r="Q30" s="266"/>
      <c r="R30" s="266"/>
    </row>
    <row r="31" spans="2:30" ht="15" customHeight="1" x14ac:dyDescent="0.2">
      <c r="D31" s="169"/>
      <c r="I31" s="272"/>
    </row>
    <row r="32" spans="2:30" ht="15" customHeight="1" x14ac:dyDescent="0.2">
      <c r="B32" s="169"/>
      <c r="G32" s="272"/>
    </row>
    <row r="33" spans="2:7" s="60" customFormat="1" ht="15" customHeight="1" x14ac:dyDescent="0.2">
      <c r="B33" s="267"/>
      <c r="C33" s="267"/>
    </row>
    <row r="34" spans="2:7" s="60" customFormat="1" ht="15" customHeight="1" x14ac:dyDescent="0.2">
      <c r="B34" s="267"/>
      <c r="C34" s="267"/>
    </row>
    <row r="35" spans="2:7" s="60" customFormat="1" ht="15" customHeight="1" x14ac:dyDescent="0.2">
      <c r="B35" s="267"/>
      <c r="C35" s="267"/>
    </row>
    <row r="36" spans="2:7" s="60" customFormat="1" ht="15" customHeight="1" x14ac:dyDescent="0.2">
      <c r="B36" s="267"/>
      <c r="C36" s="267"/>
    </row>
    <row r="37" spans="2:7" s="60" customFormat="1" ht="15" customHeight="1" x14ac:dyDescent="0.2">
      <c r="B37" s="226"/>
    </row>
    <row r="38" spans="2:7" s="60" customFormat="1" ht="15" customHeight="1" x14ac:dyDescent="0.2">
      <c r="B38" s="267"/>
      <c r="D38" s="317" t="s">
        <v>891</v>
      </c>
      <c r="E38" s="871">
        <f ca="1">TODAY()</f>
        <v>45064</v>
      </c>
      <c r="F38" s="755"/>
      <c r="G38" s="298" t="s">
        <v>373</v>
      </c>
    </row>
    <row r="39" spans="2:7" s="60" customFormat="1" ht="15" customHeight="1" x14ac:dyDescent="0.2">
      <c r="B39" s="267"/>
    </row>
    <row r="40" spans="2:7" s="60" customFormat="1" ht="15" hidden="1" customHeight="1" x14ac:dyDescent="0.2">
      <c r="B40" s="267"/>
    </row>
    <row r="41" spans="2:7" s="60" customFormat="1" ht="15" hidden="1" customHeight="1" x14ac:dyDescent="0.2">
      <c r="B41" s="267"/>
    </row>
    <row r="42" spans="2:7" s="60" customFormat="1" ht="15" hidden="1" customHeight="1" x14ac:dyDescent="0.2">
      <c r="B42" s="267"/>
    </row>
    <row r="43" spans="2:7" s="60" customFormat="1" ht="15" hidden="1" customHeight="1" x14ac:dyDescent="0.2">
      <c r="B43" s="267"/>
    </row>
    <row r="44" spans="2:7" s="60" customFormat="1" ht="15" hidden="1" customHeight="1" x14ac:dyDescent="0.2">
      <c r="B44" s="267"/>
    </row>
    <row r="45" spans="2:7" s="60" customFormat="1" ht="15" hidden="1" customHeight="1" x14ac:dyDescent="0.2">
      <c r="B45" s="267"/>
      <c r="G45" s="111"/>
    </row>
    <row r="46" spans="2:7" ht="15" hidden="1" customHeight="1" x14ac:dyDescent="0.2"/>
    <row r="47" spans="2:7" s="60" customFormat="1" ht="15" hidden="1" customHeight="1" x14ac:dyDescent="0.2">
      <c r="B47" s="267"/>
      <c r="C47" s="267"/>
    </row>
    <row r="48" spans="2:7" s="60" customFormat="1" ht="15" hidden="1" customHeight="1" x14ac:dyDescent="0.2">
      <c r="B48" s="267"/>
      <c r="C48" s="267"/>
    </row>
    <row r="49" spans="2:3" s="60" customFormat="1" ht="15" hidden="1" customHeight="1" x14ac:dyDescent="0.2">
      <c r="B49" s="267"/>
      <c r="C49" s="267"/>
    </row>
    <row r="50" spans="2:3" s="60" customFormat="1" ht="15" hidden="1" customHeight="1" x14ac:dyDescent="0.2">
      <c r="B50" s="267"/>
      <c r="C50" s="267"/>
    </row>
    <row r="51" spans="2:3" s="60" customFormat="1" ht="15" hidden="1" customHeight="1" x14ac:dyDescent="0.2">
      <c r="B51" s="267"/>
      <c r="C51" s="267"/>
    </row>
    <row r="52" spans="2:3" s="60" customFormat="1" ht="15" hidden="1" customHeight="1" x14ac:dyDescent="0.2">
      <c r="B52" s="267"/>
      <c r="C52" s="267"/>
    </row>
    <row r="53" spans="2:3" s="60" customFormat="1" ht="15" hidden="1" customHeight="1" x14ac:dyDescent="0.2">
      <c r="B53" s="267"/>
      <c r="C53" s="267"/>
    </row>
    <row r="54" spans="2:3" s="60" customFormat="1" ht="15" hidden="1" customHeight="1" x14ac:dyDescent="0.2">
      <c r="B54" s="267"/>
      <c r="C54" s="267"/>
    </row>
    <row r="55" spans="2:3" s="60" customFormat="1" ht="15" hidden="1" customHeight="1" x14ac:dyDescent="0.2">
      <c r="B55" s="267"/>
      <c r="C55" s="267"/>
    </row>
    <row r="56" spans="2:3" s="60" customFormat="1" ht="15" hidden="1" customHeight="1" x14ac:dyDescent="0.2">
      <c r="B56" s="267"/>
      <c r="C56" s="267"/>
    </row>
    <row r="57" spans="2:3" s="60" customFormat="1" ht="15" hidden="1" customHeight="1" x14ac:dyDescent="0.2">
      <c r="B57" s="267"/>
      <c r="C57" s="267"/>
    </row>
    <row r="58" spans="2:3" s="60" customFormat="1" ht="15" hidden="1" customHeight="1" x14ac:dyDescent="0.2">
      <c r="B58" s="267"/>
      <c r="C58" s="267"/>
    </row>
    <row r="59" spans="2:3" s="60" customFormat="1" ht="15" hidden="1" customHeight="1" x14ac:dyDescent="0.2">
      <c r="B59" s="267"/>
      <c r="C59" s="267"/>
    </row>
    <row r="60" spans="2:3" s="60" customFormat="1" ht="15" hidden="1" customHeight="1" x14ac:dyDescent="0.2">
      <c r="B60" s="267"/>
      <c r="C60" s="267"/>
    </row>
    <row r="61" spans="2:3" s="60" customFormat="1" ht="15" hidden="1" customHeight="1" x14ac:dyDescent="0.2">
      <c r="B61" s="267"/>
      <c r="C61" s="267"/>
    </row>
    <row r="62" spans="2:3" s="60" customFormat="1" ht="15" hidden="1" customHeight="1" x14ac:dyDescent="0.2">
      <c r="B62" s="267"/>
      <c r="C62" s="267"/>
    </row>
    <row r="63" spans="2:3" s="60" customFormat="1" ht="15" hidden="1" customHeight="1" x14ac:dyDescent="0.2">
      <c r="B63" s="267"/>
      <c r="C63" s="267"/>
    </row>
    <row r="64" spans="2:3" s="60" customFormat="1" ht="15" hidden="1" customHeight="1" x14ac:dyDescent="0.2">
      <c r="B64" s="267"/>
      <c r="C64" s="267"/>
    </row>
    <row r="65" spans="2:3" s="60" customFormat="1" ht="15" hidden="1" customHeight="1" x14ac:dyDescent="0.2">
      <c r="B65" s="267"/>
      <c r="C65" s="267"/>
    </row>
    <row r="66" spans="2:3" s="60" customFormat="1" ht="15" hidden="1" customHeight="1" x14ac:dyDescent="0.2">
      <c r="B66" s="267"/>
      <c r="C66" s="267"/>
    </row>
    <row r="67" spans="2:3" s="60" customFormat="1" ht="15" hidden="1" customHeight="1" x14ac:dyDescent="0.2">
      <c r="B67" s="267"/>
      <c r="C67" s="267"/>
    </row>
    <row r="68" spans="2:3" ht="15" customHeight="1" x14ac:dyDescent="0.2"/>
  </sheetData>
  <sheetProtection algorithmName="SHA-512" hashValue="x9NDCllLj2Hx/WNuzIWyZ+OjMWwYYSvcWTTMhuIJhaPAm+vp7rsVpf5CnFn2lKFO/Vn9bC14437/zjErwFwsrA==" saltValue="xV65mFCweib/QSd43Dpe7A==" spinCount="100000" sheet="1" objects="1" scenarios="1" selectLockedCells="1"/>
  <mergeCells count="3">
    <mergeCell ref="E8:M8"/>
    <mergeCell ref="E38:F38"/>
    <mergeCell ref="C6:N6"/>
  </mergeCells>
  <phoneticPr fontId="0" type="noConversion"/>
  <printOptions horizontalCentered="1"/>
  <pageMargins left="0.78740157480314998" right="0.78740157480314998" top="0.78740157480314998" bottom="0.78740157480314998" header="0.511811023622047" footer="0.511811023622047"/>
  <pageSetup scale="80" orientation="portrait" cellComments="atEnd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175</vt:i4>
      </vt:variant>
      <vt:variant>
        <vt:lpstr>Intervalos nomeados</vt:lpstr>
      </vt:variant>
      <vt:variant>
        <vt:i4>341</vt:i4>
      </vt:variant>
    </vt:vector>
  </HeadingPairs>
  <TitlesOfParts>
    <vt:vector size="516" baseType="lpstr">
      <vt:lpstr>Plan1</vt:lpstr>
      <vt:lpstr>Inicial</vt:lpstr>
      <vt:lpstr>Culturas</vt:lpstr>
      <vt:lpstr>RecomendacaoMicro</vt:lpstr>
      <vt:lpstr>Fertirrigacao</vt:lpstr>
      <vt:lpstr>Gesso</vt:lpstr>
      <vt:lpstr>Utilidades</vt:lpstr>
      <vt:lpstr>FertirrigacaoGeral</vt:lpstr>
      <vt:lpstr>TabFertirrigacao</vt:lpstr>
      <vt:lpstr>CultivoOrg</vt:lpstr>
      <vt:lpstr>EspacamentoOrg</vt:lpstr>
      <vt:lpstr>ExigenciaN</vt:lpstr>
      <vt:lpstr>FertiOrg</vt:lpstr>
      <vt:lpstr>CultivoOrgG1</vt:lpstr>
      <vt:lpstr>CultivoOrgG2</vt:lpstr>
      <vt:lpstr>CultivoOrgG3</vt:lpstr>
      <vt:lpstr>CultivoOrgG4</vt:lpstr>
      <vt:lpstr>CultivoOrgG5</vt:lpstr>
      <vt:lpstr>CultivoOrgPlantio</vt:lpstr>
      <vt:lpstr>CultivoOrgProducao</vt:lpstr>
      <vt:lpstr>CafeOrgProducao</vt:lpstr>
      <vt:lpstr>InterpretacaoAnalise</vt:lpstr>
      <vt:lpstr>Fertilizantes</vt:lpstr>
      <vt:lpstr>Unidades</vt:lpstr>
      <vt:lpstr>CustoNutriente</vt:lpstr>
      <vt:lpstr>TeorFoliar</vt:lpstr>
      <vt:lpstr>Plantio1V70</vt:lpstr>
      <vt:lpstr>Plantio2V70</vt:lpstr>
      <vt:lpstr>Plantio3V70</vt:lpstr>
      <vt:lpstr>Plantio2V80</vt:lpstr>
      <vt:lpstr>Substrato</vt:lpstr>
      <vt:lpstr>PlantioForm</vt:lpstr>
      <vt:lpstr>Abacate</vt:lpstr>
      <vt:lpstr>Abacate1a2</vt:lpstr>
      <vt:lpstr>Abacate2a3</vt:lpstr>
      <vt:lpstr>AbacateProd</vt:lpstr>
      <vt:lpstr>Abacaxi</vt:lpstr>
      <vt:lpstr>AboboraRast</vt:lpstr>
      <vt:lpstr>AboboraMoita</vt:lpstr>
      <vt:lpstr>Acerola</vt:lpstr>
      <vt:lpstr>AcerolaForm</vt:lpstr>
      <vt:lpstr>AcerolaProd</vt:lpstr>
      <vt:lpstr>Alface</vt:lpstr>
      <vt:lpstr>Algodao</vt:lpstr>
      <vt:lpstr>Alho</vt:lpstr>
      <vt:lpstr>Ameixa</vt:lpstr>
      <vt:lpstr>Ameixa1a2</vt:lpstr>
      <vt:lpstr>Ameixa3a4</vt:lpstr>
      <vt:lpstr>AmeixaProd</vt:lpstr>
      <vt:lpstr>ArrozSequ</vt:lpstr>
      <vt:lpstr>ArrozInun</vt:lpstr>
      <vt:lpstr>Banana</vt:lpstr>
      <vt:lpstr>BananaPlan</vt:lpstr>
      <vt:lpstr>BananaIrrig</vt:lpstr>
      <vt:lpstr>BananaNao</vt:lpstr>
      <vt:lpstr>Batata</vt:lpstr>
      <vt:lpstr>BatataDoce</vt:lpstr>
      <vt:lpstr>Beterraba</vt:lpstr>
      <vt:lpstr>Berinjela</vt:lpstr>
      <vt:lpstr>Brocolis</vt:lpstr>
      <vt:lpstr>Bucha</vt:lpstr>
      <vt:lpstr>Cacau</vt:lpstr>
      <vt:lpstr>CacauPlan</vt:lpstr>
      <vt:lpstr>Cacau1a2</vt:lpstr>
      <vt:lpstr>CacauProd</vt:lpstr>
      <vt:lpstr>AmostragemCafe</vt:lpstr>
      <vt:lpstr>CafeArabica</vt:lpstr>
      <vt:lpstr>DoseARC</vt:lpstr>
      <vt:lpstr>ArabicaProd</vt:lpstr>
      <vt:lpstr>ArabicaRecep</vt:lpstr>
      <vt:lpstr>ArabicaCusteio</vt:lpstr>
      <vt:lpstr>InfoArabica</vt:lpstr>
      <vt:lpstr>CafeConilon</vt:lpstr>
      <vt:lpstr>ConilonProd</vt:lpstr>
      <vt:lpstr>ConilonFert</vt:lpstr>
      <vt:lpstr>ConilonCusteio</vt:lpstr>
      <vt:lpstr>InfoConilon</vt:lpstr>
      <vt:lpstr>Cana</vt:lpstr>
      <vt:lpstr>Caqui</vt:lpstr>
      <vt:lpstr>Caqui1a2</vt:lpstr>
      <vt:lpstr>Caqui3a4</vt:lpstr>
      <vt:lpstr>CaquiProd</vt:lpstr>
      <vt:lpstr>Cebola</vt:lpstr>
      <vt:lpstr>Cebolinha</vt:lpstr>
      <vt:lpstr>CedroAust</vt:lpstr>
      <vt:lpstr>Cenoura</vt:lpstr>
      <vt:lpstr>Chuchu</vt:lpstr>
      <vt:lpstr>Citrus</vt:lpstr>
      <vt:lpstr>Citrus1a2</vt:lpstr>
      <vt:lpstr>Citrus3a5</vt:lpstr>
      <vt:lpstr>CitrusProd</vt:lpstr>
      <vt:lpstr>CitrusCusteio</vt:lpstr>
      <vt:lpstr>Coco</vt:lpstr>
      <vt:lpstr>Coco1a3</vt:lpstr>
      <vt:lpstr>Coco4a5</vt:lpstr>
      <vt:lpstr>CocoProd</vt:lpstr>
      <vt:lpstr>Couve</vt:lpstr>
      <vt:lpstr>CouveFlor</vt:lpstr>
      <vt:lpstr>Eucalipto</vt:lpstr>
      <vt:lpstr>Feijao</vt:lpstr>
      <vt:lpstr>FeijaoVagem</vt:lpstr>
      <vt:lpstr>Figo</vt:lpstr>
      <vt:lpstr>Figo1a2</vt:lpstr>
      <vt:lpstr>Figo3a4</vt:lpstr>
      <vt:lpstr>FigoProd</vt:lpstr>
      <vt:lpstr>Gengibre</vt:lpstr>
      <vt:lpstr>Goiaba</vt:lpstr>
      <vt:lpstr>Goiaba1a3</vt:lpstr>
      <vt:lpstr>GoiabaProd</vt:lpstr>
      <vt:lpstr>Graviola</vt:lpstr>
      <vt:lpstr>Graviola1a3</vt:lpstr>
      <vt:lpstr>GraviolaProd</vt:lpstr>
      <vt:lpstr>Inhame</vt:lpstr>
      <vt:lpstr>Jilo</vt:lpstr>
      <vt:lpstr>Lichia</vt:lpstr>
      <vt:lpstr>Lichia1a2</vt:lpstr>
      <vt:lpstr>Lichia3a4</vt:lpstr>
      <vt:lpstr>LichiaProd</vt:lpstr>
      <vt:lpstr>Macadamia</vt:lpstr>
      <vt:lpstr>Macadamia1a2</vt:lpstr>
      <vt:lpstr>Macadamia3a4</vt:lpstr>
      <vt:lpstr>MacadamiaProd</vt:lpstr>
      <vt:lpstr>MacadamiaCusteio</vt:lpstr>
      <vt:lpstr>Mamao</vt:lpstr>
      <vt:lpstr>Manga</vt:lpstr>
      <vt:lpstr>Manga1a2</vt:lpstr>
      <vt:lpstr>Manga3a4</vt:lpstr>
      <vt:lpstr>MangaProd</vt:lpstr>
      <vt:lpstr>Mandioca</vt:lpstr>
      <vt:lpstr>Mandioquinha</vt:lpstr>
      <vt:lpstr>Maracuja</vt:lpstr>
      <vt:lpstr>Maracuja1</vt:lpstr>
      <vt:lpstr>MaracujaProd</vt:lpstr>
      <vt:lpstr>Milho</vt:lpstr>
      <vt:lpstr>Morango</vt:lpstr>
      <vt:lpstr>MorangoViveiro</vt:lpstr>
      <vt:lpstr>MorangoProd</vt:lpstr>
      <vt:lpstr>MorangoFert</vt:lpstr>
      <vt:lpstr>Nectarina</vt:lpstr>
      <vt:lpstr>Nectarina1a2</vt:lpstr>
      <vt:lpstr>Nectarina3a4</vt:lpstr>
      <vt:lpstr>NectarinaProd</vt:lpstr>
      <vt:lpstr>Nespera</vt:lpstr>
      <vt:lpstr>Nespera1a2</vt:lpstr>
      <vt:lpstr>Nespera3a4</vt:lpstr>
      <vt:lpstr>NesperaProd</vt:lpstr>
      <vt:lpstr>Pastagem</vt:lpstr>
      <vt:lpstr>PastoSemiForm</vt:lpstr>
      <vt:lpstr>PastoSemiManu</vt:lpstr>
      <vt:lpstr>PastoInteForm</vt:lpstr>
      <vt:lpstr>PastoInteManu</vt:lpstr>
      <vt:lpstr>Pepino</vt:lpstr>
      <vt:lpstr>Pessego</vt:lpstr>
      <vt:lpstr>Pessego1a2</vt:lpstr>
      <vt:lpstr>Pessego3a4</vt:lpstr>
      <vt:lpstr>PessegoProd</vt:lpstr>
      <vt:lpstr>Pimenta</vt:lpstr>
      <vt:lpstr>Pimentao</vt:lpstr>
      <vt:lpstr>PimentaReino</vt:lpstr>
      <vt:lpstr>PimentaReinoProd</vt:lpstr>
      <vt:lpstr>Pupunha</vt:lpstr>
      <vt:lpstr>PupunhaPlan</vt:lpstr>
      <vt:lpstr>PupunhaProd</vt:lpstr>
      <vt:lpstr>Quiabo</vt:lpstr>
      <vt:lpstr>Rabanete</vt:lpstr>
      <vt:lpstr>Repolho</vt:lpstr>
      <vt:lpstr>Salsa</vt:lpstr>
      <vt:lpstr>Seringueira</vt:lpstr>
      <vt:lpstr>Seringueira1a3</vt:lpstr>
      <vt:lpstr>Seringueira4a15</vt:lpstr>
      <vt:lpstr>Seringueira15a</vt:lpstr>
      <vt:lpstr>Tomate</vt:lpstr>
      <vt:lpstr>Uva</vt:lpstr>
      <vt:lpstr>Uva1a2</vt:lpstr>
      <vt:lpstr>UvaProd</vt:lpstr>
      <vt:lpstr>Abacate!Area_de_impressao</vt:lpstr>
      <vt:lpstr>Abacate1a2!Area_de_impressao</vt:lpstr>
      <vt:lpstr>Abacate2a3!Area_de_impressao</vt:lpstr>
      <vt:lpstr>AbacateProd!Area_de_impressao</vt:lpstr>
      <vt:lpstr>Abacaxi!Area_de_impressao</vt:lpstr>
      <vt:lpstr>AboboraMoita!Area_de_impressao</vt:lpstr>
      <vt:lpstr>AboboraRast!Area_de_impressao</vt:lpstr>
      <vt:lpstr>Acerola!Area_de_impressao</vt:lpstr>
      <vt:lpstr>AcerolaForm!Area_de_impressao</vt:lpstr>
      <vt:lpstr>AcerolaProd!Area_de_impressao</vt:lpstr>
      <vt:lpstr>Alface!Area_de_impressao</vt:lpstr>
      <vt:lpstr>Algodao!Area_de_impressao</vt:lpstr>
      <vt:lpstr>Alho!Area_de_impressao</vt:lpstr>
      <vt:lpstr>Ameixa!Area_de_impressao</vt:lpstr>
      <vt:lpstr>Ameixa1a2!Area_de_impressao</vt:lpstr>
      <vt:lpstr>Ameixa3a4!Area_de_impressao</vt:lpstr>
      <vt:lpstr>AmeixaProd!Area_de_impressao</vt:lpstr>
      <vt:lpstr>AmostragemCafe!Area_de_impressao</vt:lpstr>
      <vt:lpstr>ArabicaCusteio!Area_de_impressao</vt:lpstr>
      <vt:lpstr>ArabicaProd!Area_de_impressao</vt:lpstr>
      <vt:lpstr>ArabicaRecep!Area_de_impressao</vt:lpstr>
      <vt:lpstr>ArrozInun!Area_de_impressao</vt:lpstr>
      <vt:lpstr>ArrozSequ!Area_de_impressao</vt:lpstr>
      <vt:lpstr>Banana!Area_de_impressao</vt:lpstr>
      <vt:lpstr>BananaIrrig!Area_de_impressao</vt:lpstr>
      <vt:lpstr>BananaNao!Area_de_impressao</vt:lpstr>
      <vt:lpstr>BananaPlan!Area_de_impressao</vt:lpstr>
      <vt:lpstr>Batata!Area_de_impressao</vt:lpstr>
      <vt:lpstr>BatataDoce!Area_de_impressao</vt:lpstr>
      <vt:lpstr>Berinjela!Area_de_impressao</vt:lpstr>
      <vt:lpstr>Beterraba!Area_de_impressao</vt:lpstr>
      <vt:lpstr>Brocolis!Area_de_impressao</vt:lpstr>
      <vt:lpstr>Bucha!Area_de_impressao</vt:lpstr>
      <vt:lpstr>Cacau!Area_de_impressao</vt:lpstr>
      <vt:lpstr>Cacau1a2!Area_de_impressao</vt:lpstr>
      <vt:lpstr>CacauPlan!Area_de_impressao</vt:lpstr>
      <vt:lpstr>CacauProd!Area_de_impressao</vt:lpstr>
      <vt:lpstr>CafeArabica!Area_de_impressao</vt:lpstr>
      <vt:lpstr>CafeConilon!Area_de_impressao</vt:lpstr>
      <vt:lpstr>CafeOrgProducao!Area_de_impressao</vt:lpstr>
      <vt:lpstr>Cana!Area_de_impressao</vt:lpstr>
      <vt:lpstr>Caqui!Area_de_impressao</vt:lpstr>
      <vt:lpstr>Caqui1a2!Area_de_impressao</vt:lpstr>
      <vt:lpstr>Caqui3a4!Area_de_impressao</vt:lpstr>
      <vt:lpstr>CaquiProd!Area_de_impressao</vt:lpstr>
      <vt:lpstr>Cebola!Area_de_impressao</vt:lpstr>
      <vt:lpstr>Cebolinha!Area_de_impressao</vt:lpstr>
      <vt:lpstr>CedroAust!Area_de_impressao</vt:lpstr>
      <vt:lpstr>Cenoura!Area_de_impressao</vt:lpstr>
      <vt:lpstr>Chuchu!Area_de_impressao</vt:lpstr>
      <vt:lpstr>Citrus!Area_de_impressao</vt:lpstr>
      <vt:lpstr>Citrus1a2!Area_de_impressao</vt:lpstr>
      <vt:lpstr>Citrus3a5!Area_de_impressao</vt:lpstr>
      <vt:lpstr>CitrusCusteio!Area_de_impressao</vt:lpstr>
      <vt:lpstr>CitrusProd!Area_de_impressao</vt:lpstr>
      <vt:lpstr>Coco!Area_de_impressao</vt:lpstr>
      <vt:lpstr>Coco1a3!Area_de_impressao</vt:lpstr>
      <vt:lpstr>Coco4a5!Area_de_impressao</vt:lpstr>
      <vt:lpstr>CocoProd!Area_de_impressao</vt:lpstr>
      <vt:lpstr>ConilonCusteio!Area_de_impressao</vt:lpstr>
      <vt:lpstr>ConilonFert!Area_de_impressao</vt:lpstr>
      <vt:lpstr>ConilonProd!Area_de_impressao</vt:lpstr>
      <vt:lpstr>Couve!Area_de_impressao</vt:lpstr>
      <vt:lpstr>CouveFlor!Area_de_impressao</vt:lpstr>
      <vt:lpstr>CultivoOrg!Area_de_impressao</vt:lpstr>
      <vt:lpstr>CultivoOrgG1!Area_de_impressao</vt:lpstr>
      <vt:lpstr>CultivoOrgG2!Area_de_impressao</vt:lpstr>
      <vt:lpstr>CultivoOrgG3!Area_de_impressao</vt:lpstr>
      <vt:lpstr>CultivoOrgG4!Area_de_impressao</vt:lpstr>
      <vt:lpstr>CultivoOrgG5!Area_de_impressao</vt:lpstr>
      <vt:lpstr>CultivoOrgPlantio!Area_de_impressao</vt:lpstr>
      <vt:lpstr>CultivoOrgProducao!Area_de_impressao</vt:lpstr>
      <vt:lpstr>Culturas!Area_de_impressao</vt:lpstr>
      <vt:lpstr>CustoNutriente!Area_de_impressao</vt:lpstr>
      <vt:lpstr>DoseARC!Area_de_impressao</vt:lpstr>
      <vt:lpstr>EspacamentoOrg!Area_de_impressao</vt:lpstr>
      <vt:lpstr>Eucalipto!Area_de_impressao</vt:lpstr>
      <vt:lpstr>ExigenciaN!Area_de_impressao</vt:lpstr>
      <vt:lpstr>Feijao!Area_de_impressao</vt:lpstr>
      <vt:lpstr>FeijaoVagem!Area_de_impressao</vt:lpstr>
      <vt:lpstr>Fertilizantes!Area_de_impressao</vt:lpstr>
      <vt:lpstr>FertiOrg!Area_de_impressao</vt:lpstr>
      <vt:lpstr>Fertirrigacao!Area_de_impressao</vt:lpstr>
      <vt:lpstr>FertirrigacaoGeral!Area_de_impressao</vt:lpstr>
      <vt:lpstr>Figo!Area_de_impressao</vt:lpstr>
      <vt:lpstr>Figo1a2!Area_de_impressao</vt:lpstr>
      <vt:lpstr>Figo3a4!Area_de_impressao</vt:lpstr>
      <vt:lpstr>FigoProd!Area_de_impressao</vt:lpstr>
      <vt:lpstr>Gengibre!Area_de_impressao</vt:lpstr>
      <vt:lpstr>Gesso!Area_de_impressao</vt:lpstr>
      <vt:lpstr>Goiaba!Area_de_impressao</vt:lpstr>
      <vt:lpstr>Goiaba1a3!Area_de_impressao</vt:lpstr>
      <vt:lpstr>GoiabaProd!Area_de_impressao</vt:lpstr>
      <vt:lpstr>Graviola!Area_de_impressao</vt:lpstr>
      <vt:lpstr>Graviola1a3!Area_de_impressao</vt:lpstr>
      <vt:lpstr>GraviolaProd!Area_de_impressao</vt:lpstr>
      <vt:lpstr>InfoArabica!Area_de_impressao</vt:lpstr>
      <vt:lpstr>InfoConilon!Area_de_impressao</vt:lpstr>
      <vt:lpstr>Inhame!Area_de_impressao</vt:lpstr>
      <vt:lpstr>Inicial!Area_de_impressao</vt:lpstr>
      <vt:lpstr>InterpretacaoAnalise!Area_de_impressao</vt:lpstr>
      <vt:lpstr>Jilo!Area_de_impressao</vt:lpstr>
      <vt:lpstr>Lichia!Area_de_impressao</vt:lpstr>
      <vt:lpstr>Lichia1a2!Area_de_impressao</vt:lpstr>
      <vt:lpstr>Lichia3a4!Area_de_impressao</vt:lpstr>
      <vt:lpstr>LichiaProd!Area_de_impressao</vt:lpstr>
      <vt:lpstr>Macadamia!Area_de_impressao</vt:lpstr>
      <vt:lpstr>Macadamia1a2!Area_de_impressao</vt:lpstr>
      <vt:lpstr>Macadamia3a4!Area_de_impressao</vt:lpstr>
      <vt:lpstr>MacadamiaCusteio!Area_de_impressao</vt:lpstr>
      <vt:lpstr>MacadamiaProd!Area_de_impressao</vt:lpstr>
      <vt:lpstr>Mamao!Area_de_impressao</vt:lpstr>
      <vt:lpstr>Mandioca!Area_de_impressao</vt:lpstr>
      <vt:lpstr>Mandioquinha!Area_de_impressao</vt:lpstr>
      <vt:lpstr>Manga!Area_de_impressao</vt:lpstr>
      <vt:lpstr>Manga1a2!Area_de_impressao</vt:lpstr>
      <vt:lpstr>Manga3a4!Area_de_impressao</vt:lpstr>
      <vt:lpstr>MangaProd!Area_de_impressao</vt:lpstr>
      <vt:lpstr>Maracuja!Area_de_impressao</vt:lpstr>
      <vt:lpstr>Maracuja1!Area_de_impressao</vt:lpstr>
      <vt:lpstr>MaracujaProd!Area_de_impressao</vt:lpstr>
      <vt:lpstr>Milho!Area_de_impressao</vt:lpstr>
      <vt:lpstr>Morango!Area_de_impressao</vt:lpstr>
      <vt:lpstr>MorangoFert!Area_de_impressao</vt:lpstr>
      <vt:lpstr>MorangoProd!Area_de_impressao</vt:lpstr>
      <vt:lpstr>MorangoViveiro!Area_de_impressao</vt:lpstr>
      <vt:lpstr>Nectarina!Area_de_impressao</vt:lpstr>
      <vt:lpstr>Nectarina1a2!Area_de_impressao</vt:lpstr>
      <vt:lpstr>Nectarina3a4!Area_de_impressao</vt:lpstr>
      <vt:lpstr>NectarinaProd!Area_de_impressao</vt:lpstr>
      <vt:lpstr>Nespera!Area_de_impressao</vt:lpstr>
      <vt:lpstr>Nespera1a2!Area_de_impressao</vt:lpstr>
      <vt:lpstr>Nespera3a4!Area_de_impressao</vt:lpstr>
      <vt:lpstr>NesperaProd!Area_de_impressao</vt:lpstr>
      <vt:lpstr>Pastagem!Area_de_impressao</vt:lpstr>
      <vt:lpstr>PastoInteForm!Area_de_impressao</vt:lpstr>
      <vt:lpstr>PastoInteManu!Area_de_impressao</vt:lpstr>
      <vt:lpstr>PastoSemiForm!Area_de_impressao</vt:lpstr>
      <vt:lpstr>PastoSemiManu!Area_de_impressao</vt:lpstr>
      <vt:lpstr>Pepino!Area_de_impressao</vt:lpstr>
      <vt:lpstr>Pessego!Area_de_impressao</vt:lpstr>
      <vt:lpstr>Pessego1a2!Area_de_impressao</vt:lpstr>
      <vt:lpstr>Pessego3a4!Area_de_impressao</vt:lpstr>
      <vt:lpstr>PessegoProd!Area_de_impressao</vt:lpstr>
      <vt:lpstr>Pimenta!Area_de_impressao</vt:lpstr>
      <vt:lpstr>Pimentao!Area_de_impressao</vt:lpstr>
      <vt:lpstr>PimentaReino!Area_de_impressao</vt:lpstr>
      <vt:lpstr>PimentaReinoProd!Area_de_impressao</vt:lpstr>
      <vt:lpstr>Plantio1V70!Area_de_impressao</vt:lpstr>
      <vt:lpstr>Plantio2V70!Area_de_impressao</vt:lpstr>
      <vt:lpstr>Plantio2V80!Area_de_impressao</vt:lpstr>
      <vt:lpstr>Plantio3V70!Area_de_impressao</vt:lpstr>
      <vt:lpstr>PlantioForm!Area_de_impressao</vt:lpstr>
      <vt:lpstr>Pupunha!Area_de_impressao</vt:lpstr>
      <vt:lpstr>PupunhaPlan!Area_de_impressao</vt:lpstr>
      <vt:lpstr>PupunhaProd!Area_de_impressao</vt:lpstr>
      <vt:lpstr>Quiabo!Area_de_impressao</vt:lpstr>
      <vt:lpstr>Rabanete!Area_de_impressao</vt:lpstr>
      <vt:lpstr>RecomendacaoMicro!Area_de_impressao</vt:lpstr>
      <vt:lpstr>Repolho!Area_de_impressao</vt:lpstr>
      <vt:lpstr>Salsa!Area_de_impressao</vt:lpstr>
      <vt:lpstr>Seringueira!Area_de_impressao</vt:lpstr>
      <vt:lpstr>Seringueira15a!Area_de_impressao</vt:lpstr>
      <vt:lpstr>Seringueira1a3!Area_de_impressao</vt:lpstr>
      <vt:lpstr>Seringueira4a15!Area_de_impressao</vt:lpstr>
      <vt:lpstr>Substrato!Area_de_impressao</vt:lpstr>
      <vt:lpstr>TabFertirrigacao!Area_de_impressao</vt:lpstr>
      <vt:lpstr>TeorFoliar!Area_de_impressao</vt:lpstr>
      <vt:lpstr>Tomate!Area_de_impressao</vt:lpstr>
      <vt:lpstr>Unidades!Area_de_impressao</vt:lpstr>
      <vt:lpstr>Utilidades!Area_de_impressao</vt:lpstr>
      <vt:lpstr>Uva!Area_de_impressao</vt:lpstr>
      <vt:lpstr>Uva1a2!Area_de_impressao</vt:lpstr>
      <vt:lpstr>UvaProd!Area_de_impressao</vt:lpstr>
      <vt:lpstr>Abacate!Titulos_de_impressao</vt:lpstr>
      <vt:lpstr>Abacate1a2!Titulos_de_impressao</vt:lpstr>
      <vt:lpstr>Abacate2a3!Titulos_de_impressao</vt:lpstr>
      <vt:lpstr>AbacateProd!Titulos_de_impressao</vt:lpstr>
      <vt:lpstr>Abacaxi!Titulos_de_impressao</vt:lpstr>
      <vt:lpstr>AboboraMoita!Titulos_de_impressao</vt:lpstr>
      <vt:lpstr>AboboraRast!Titulos_de_impressao</vt:lpstr>
      <vt:lpstr>Acerola!Titulos_de_impressao</vt:lpstr>
      <vt:lpstr>AcerolaForm!Titulos_de_impressao</vt:lpstr>
      <vt:lpstr>AcerolaProd!Titulos_de_impressao</vt:lpstr>
      <vt:lpstr>Alface!Titulos_de_impressao</vt:lpstr>
      <vt:lpstr>Algodao!Titulos_de_impressao</vt:lpstr>
      <vt:lpstr>Alho!Titulos_de_impressao</vt:lpstr>
      <vt:lpstr>Ameixa!Titulos_de_impressao</vt:lpstr>
      <vt:lpstr>Ameixa1a2!Titulos_de_impressao</vt:lpstr>
      <vt:lpstr>Ameixa3a4!Titulos_de_impressao</vt:lpstr>
      <vt:lpstr>AmeixaProd!Titulos_de_impressao</vt:lpstr>
      <vt:lpstr>AmostragemCafe!Titulos_de_impressao</vt:lpstr>
      <vt:lpstr>ArabicaCusteio!Titulos_de_impressao</vt:lpstr>
      <vt:lpstr>ArabicaProd!Titulos_de_impressao</vt:lpstr>
      <vt:lpstr>ArabicaRecep!Titulos_de_impressao</vt:lpstr>
      <vt:lpstr>ArrozInun!Titulos_de_impressao</vt:lpstr>
      <vt:lpstr>ArrozSequ!Titulos_de_impressao</vt:lpstr>
      <vt:lpstr>Banana!Titulos_de_impressao</vt:lpstr>
      <vt:lpstr>BananaIrrig!Titulos_de_impressao</vt:lpstr>
      <vt:lpstr>BananaNao!Titulos_de_impressao</vt:lpstr>
      <vt:lpstr>BananaPlan!Titulos_de_impressao</vt:lpstr>
      <vt:lpstr>Batata!Titulos_de_impressao</vt:lpstr>
      <vt:lpstr>BatataDoce!Titulos_de_impressao</vt:lpstr>
      <vt:lpstr>Berinjela!Titulos_de_impressao</vt:lpstr>
      <vt:lpstr>Beterraba!Titulos_de_impressao</vt:lpstr>
      <vt:lpstr>Brocolis!Titulos_de_impressao</vt:lpstr>
      <vt:lpstr>Bucha!Titulos_de_impressao</vt:lpstr>
      <vt:lpstr>Cacau!Titulos_de_impressao</vt:lpstr>
      <vt:lpstr>Cacau1a2!Titulos_de_impressao</vt:lpstr>
      <vt:lpstr>CacauPlan!Titulos_de_impressao</vt:lpstr>
      <vt:lpstr>CacauProd!Titulos_de_impressao</vt:lpstr>
      <vt:lpstr>CafeArabica!Titulos_de_impressao</vt:lpstr>
      <vt:lpstr>CafeConilon!Titulos_de_impressao</vt:lpstr>
      <vt:lpstr>CafeOrgProducao!Titulos_de_impressao</vt:lpstr>
      <vt:lpstr>Cana!Titulos_de_impressao</vt:lpstr>
      <vt:lpstr>Caqui!Titulos_de_impressao</vt:lpstr>
      <vt:lpstr>Caqui1a2!Titulos_de_impressao</vt:lpstr>
      <vt:lpstr>Caqui3a4!Titulos_de_impressao</vt:lpstr>
      <vt:lpstr>CaquiProd!Titulos_de_impressao</vt:lpstr>
      <vt:lpstr>Cebola!Titulos_de_impressao</vt:lpstr>
      <vt:lpstr>Cebolinha!Titulos_de_impressao</vt:lpstr>
      <vt:lpstr>CedroAust!Titulos_de_impressao</vt:lpstr>
      <vt:lpstr>Cenoura!Titulos_de_impressao</vt:lpstr>
      <vt:lpstr>Chuchu!Titulos_de_impressao</vt:lpstr>
      <vt:lpstr>Citrus!Titulos_de_impressao</vt:lpstr>
      <vt:lpstr>Citrus1a2!Titulos_de_impressao</vt:lpstr>
      <vt:lpstr>Citrus3a5!Titulos_de_impressao</vt:lpstr>
      <vt:lpstr>CitrusCusteio!Titulos_de_impressao</vt:lpstr>
      <vt:lpstr>CitrusProd!Titulos_de_impressao</vt:lpstr>
      <vt:lpstr>Coco!Titulos_de_impressao</vt:lpstr>
      <vt:lpstr>Coco1a3!Titulos_de_impressao</vt:lpstr>
      <vt:lpstr>Coco4a5!Titulos_de_impressao</vt:lpstr>
      <vt:lpstr>CocoProd!Titulos_de_impressao</vt:lpstr>
      <vt:lpstr>ConilonCusteio!Titulos_de_impressao</vt:lpstr>
      <vt:lpstr>ConilonFert!Titulos_de_impressao</vt:lpstr>
      <vt:lpstr>ConilonProd!Titulos_de_impressao</vt:lpstr>
      <vt:lpstr>Couve!Titulos_de_impressao</vt:lpstr>
      <vt:lpstr>CouveFlor!Titulos_de_impressao</vt:lpstr>
      <vt:lpstr>CultivoOrgG1!Titulos_de_impressao</vt:lpstr>
      <vt:lpstr>CultivoOrgG2!Titulos_de_impressao</vt:lpstr>
      <vt:lpstr>CultivoOrgG3!Titulos_de_impressao</vt:lpstr>
      <vt:lpstr>CultivoOrgG4!Titulos_de_impressao</vt:lpstr>
      <vt:lpstr>CultivoOrgG5!Titulos_de_impressao</vt:lpstr>
      <vt:lpstr>CultivoOrgPlantio!Titulos_de_impressao</vt:lpstr>
      <vt:lpstr>CultivoOrgProducao!Titulos_de_impressao</vt:lpstr>
      <vt:lpstr>CustoNutriente!Titulos_de_impressao</vt:lpstr>
      <vt:lpstr>DoseARC!Titulos_de_impressao</vt:lpstr>
      <vt:lpstr>EspacamentoOrg!Titulos_de_impressao</vt:lpstr>
      <vt:lpstr>Eucalipto!Titulos_de_impressao</vt:lpstr>
      <vt:lpstr>ExigenciaN!Titulos_de_impressao</vt:lpstr>
      <vt:lpstr>Feijao!Titulos_de_impressao</vt:lpstr>
      <vt:lpstr>FeijaoVagem!Titulos_de_impressao</vt:lpstr>
      <vt:lpstr>Fertilizantes!Titulos_de_impressao</vt:lpstr>
      <vt:lpstr>FertiOrg!Titulos_de_impressao</vt:lpstr>
      <vt:lpstr>FertirrigacaoGeral!Titulos_de_impressao</vt:lpstr>
      <vt:lpstr>Figo!Titulos_de_impressao</vt:lpstr>
      <vt:lpstr>Figo1a2!Titulos_de_impressao</vt:lpstr>
      <vt:lpstr>Figo3a4!Titulos_de_impressao</vt:lpstr>
      <vt:lpstr>FigoProd!Titulos_de_impressao</vt:lpstr>
      <vt:lpstr>Gengibre!Titulos_de_impressao</vt:lpstr>
      <vt:lpstr>Goiaba!Titulos_de_impressao</vt:lpstr>
      <vt:lpstr>Goiaba1a3!Titulos_de_impressao</vt:lpstr>
      <vt:lpstr>GoiabaProd!Titulos_de_impressao</vt:lpstr>
      <vt:lpstr>Graviola!Titulos_de_impressao</vt:lpstr>
      <vt:lpstr>Graviola1a3!Titulos_de_impressao</vt:lpstr>
      <vt:lpstr>GraviolaProd!Titulos_de_impressao</vt:lpstr>
      <vt:lpstr>InfoArabica!Titulos_de_impressao</vt:lpstr>
      <vt:lpstr>Inhame!Titulos_de_impressao</vt:lpstr>
      <vt:lpstr>Inicial!Titulos_de_impressao</vt:lpstr>
      <vt:lpstr>InterpretacaoAnalise!Titulos_de_impressao</vt:lpstr>
      <vt:lpstr>Jilo!Titulos_de_impressao</vt:lpstr>
      <vt:lpstr>Lichia!Titulos_de_impressao</vt:lpstr>
      <vt:lpstr>Lichia1a2!Titulos_de_impressao</vt:lpstr>
      <vt:lpstr>Lichia3a4!Titulos_de_impressao</vt:lpstr>
      <vt:lpstr>LichiaProd!Titulos_de_impressao</vt:lpstr>
      <vt:lpstr>Macadamia!Titulos_de_impressao</vt:lpstr>
      <vt:lpstr>Macadamia1a2!Titulos_de_impressao</vt:lpstr>
      <vt:lpstr>Macadamia3a4!Titulos_de_impressao</vt:lpstr>
      <vt:lpstr>MacadamiaCusteio!Titulos_de_impressao</vt:lpstr>
      <vt:lpstr>MacadamiaProd!Titulos_de_impressao</vt:lpstr>
      <vt:lpstr>Mamao!Titulos_de_impressao</vt:lpstr>
      <vt:lpstr>Mandioca!Titulos_de_impressao</vt:lpstr>
      <vt:lpstr>Mandioquinha!Titulos_de_impressao</vt:lpstr>
      <vt:lpstr>Manga!Titulos_de_impressao</vt:lpstr>
      <vt:lpstr>Manga1a2!Titulos_de_impressao</vt:lpstr>
      <vt:lpstr>Manga3a4!Titulos_de_impressao</vt:lpstr>
      <vt:lpstr>MangaProd!Titulos_de_impressao</vt:lpstr>
      <vt:lpstr>Maracuja!Titulos_de_impressao</vt:lpstr>
      <vt:lpstr>Maracuja1!Titulos_de_impressao</vt:lpstr>
      <vt:lpstr>MaracujaProd!Titulos_de_impressao</vt:lpstr>
      <vt:lpstr>Milho!Titulos_de_impressao</vt:lpstr>
      <vt:lpstr>Morango!Titulos_de_impressao</vt:lpstr>
      <vt:lpstr>MorangoFert!Titulos_de_impressao</vt:lpstr>
      <vt:lpstr>MorangoProd!Titulos_de_impressao</vt:lpstr>
      <vt:lpstr>MorangoViveiro!Titulos_de_impressao</vt:lpstr>
      <vt:lpstr>Nectarina!Titulos_de_impressao</vt:lpstr>
      <vt:lpstr>Nectarina1a2!Titulos_de_impressao</vt:lpstr>
      <vt:lpstr>Nectarina3a4!Titulos_de_impressao</vt:lpstr>
      <vt:lpstr>NectarinaProd!Titulos_de_impressao</vt:lpstr>
      <vt:lpstr>Nespera!Titulos_de_impressao</vt:lpstr>
      <vt:lpstr>Nespera1a2!Titulos_de_impressao</vt:lpstr>
      <vt:lpstr>Nespera3a4!Titulos_de_impressao</vt:lpstr>
      <vt:lpstr>NesperaProd!Titulos_de_impressao</vt:lpstr>
      <vt:lpstr>Pastagem!Titulos_de_impressao</vt:lpstr>
      <vt:lpstr>PastoInteForm!Titulos_de_impressao</vt:lpstr>
      <vt:lpstr>PastoInteManu!Titulos_de_impressao</vt:lpstr>
      <vt:lpstr>PastoSemiForm!Titulos_de_impressao</vt:lpstr>
      <vt:lpstr>PastoSemiManu!Titulos_de_impressao</vt:lpstr>
      <vt:lpstr>Pepino!Titulos_de_impressao</vt:lpstr>
      <vt:lpstr>Pessego!Titulos_de_impressao</vt:lpstr>
      <vt:lpstr>Pessego1a2!Titulos_de_impressao</vt:lpstr>
      <vt:lpstr>Pessego3a4!Titulos_de_impressao</vt:lpstr>
      <vt:lpstr>PessegoProd!Titulos_de_impressao</vt:lpstr>
      <vt:lpstr>Pimenta!Titulos_de_impressao</vt:lpstr>
      <vt:lpstr>Pimentao!Titulos_de_impressao</vt:lpstr>
      <vt:lpstr>PimentaReino!Titulos_de_impressao</vt:lpstr>
      <vt:lpstr>PimentaReinoProd!Titulos_de_impressao</vt:lpstr>
      <vt:lpstr>Plantio1V70!Titulos_de_impressao</vt:lpstr>
      <vt:lpstr>Plantio2V70!Titulos_de_impressao</vt:lpstr>
      <vt:lpstr>Plantio2V80!Titulos_de_impressao</vt:lpstr>
      <vt:lpstr>Plantio3V70!Titulos_de_impressao</vt:lpstr>
      <vt:lpstr>PlantioForm!Titulos_de_impressao</vt:lpstr>
      <vt:lpstr>Pupunha!Titulos_de_impressao</vt:lpstr>
      <vt:lpstr>PupunhaPlan!Titulos_de_impressao</vt:lpstr>
      <vt:lpstr>PupunhaProd!Titulos_de_impressao</vt:lpstr>
      <vt:lpstr>Quiabo!Titulos_de_impressao</vt:lpstr>
      <vt:lpstr>Rabanete!Titulos_de_impressao</vt:lpstr>
      <vt:lpstr>Repolho!Titulos_de_impressao</vt:lpstr>
      <vt:lpstr>Salsa!Titulos_de_impressao</vt:lpstr>
      <vt:lpstr>Seringueira!Titulos_de_impressao</vt:lpstr>
      <vt:lpstr>Seringueira15a!Titulos_de_impressao</vt:lpstr>
      <vt:lpstr>Seringueira1a3!Titulos_de_impressao</vt:lpstr>
      <vt:lpstr>Seringueira4a15!Titulos_de_impressao</vt:lpstr>
      <vt:lpstr>Substrato!Titulos_de_impressao</vt:lpstr>
      <vt:lpstr>TabFertirrigacao!Titulos_de_impressao</vt:lpstr>
      <vt:lpstr>TeorFoliar!Titulos_de_impressao</vt:lpstr>
      <vt:lpstr>Tomate!Titulos_de_impressao</vt:lpstr>
      <vt:lpstr>Unidades!Titulos_de_impressao</vt:lpstr>
      <vt:lpstr>Uva!Titulos_de_impressao</vt:lpstr>
      <vt:lpstr>Uva1a2!Titulos_de_impressao</vt:lpstr>
      <vt:lpstr>UvaProd!Titulos_de_impressao</vt:lpstr>
    </vt:vector>
  </TitlesOfParts>
  <Company>Incaper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Recomendação de Calagem e Adubação - vs202208.</dc:title>
  <dc:creator>Luiz Carlos Prezotti</dc:creator>
  <cp:lastModifiedBy>Renato Correa Taques</cp:lastModifiedBy>
  <cp:lastPrinted>2023-05-18T18:34:49Z</cp:lastPrinted>
  <dcterms:created xsi:type="dcterms:W3CDTF">2001-03-30T12:09:40Z</dcterms:created>
  <dcterms:modified xsi:type="dcterms:W3CDTF">2023-05-18T18:55:34Z</dcterms:modified>
</cp:coreProperties>
</file>